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Tax Doctor\Desktop\"/>
    </mc:Choice>
  </mc:AlternateContent>
  <xr:revisionPtr revIDLastSave="0" documentId="13_ncr:1_{73A6ACD8-C915-473D-BE94-72DFFB041A43}" xr6:coauthVersionLast="47" xr6:coauthVersionMax="47" xr10:uidLastSave="{00000000-0000-0000-0000-000000000000}"/>
  <bookViews>
    <workbookView xWindow="-108" yWindow="-108" windowWidth="23256" windowHeight="12720" xr2:uid="{742EAF6B-4CBD-4166-A50A-C6833951CBC0}"/>
  </bookViews>
  <sheets>
    <sheet name="Case-7 (Dec-22)" sheetId="1" r:id="rId1"/>
  </sheets>
  <externalReferences>
    <externalReference r:id="rId2"/>
  </externalReferences>
  <definedNames>
    <definedName name="newbasicPB4">[1]Sheet1!$T$4:$T$37</definedName>
    <definedName name="oldbasicPB4">[1]Sheet1!$S$4:$S$37</definedName>
    <definedName name="_xlnm.Print_Area" localSheetId="0">'Case-7 (Dec-22)'!$A$1:$I$68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58" i="1" l="1"/>
  <c r="D148" i="1"/>
  <c r="D144" i="1"/>
  <c r="D150" i="1" s="1"/>
  <c r="E108" i="1"/>
  <c r="E105" i="1"/>
  <c r="E104" i="1"/>
  <c r="E97" i="1"/>
  <c r="B97" i="1"/>
  <c r="C83" i="1"/>
  <c r="C87" i="1" s="1"/>
  <c r="E95" i="1" s="1"/>
  <c r="G78" i="1"/>
  <c r="E91" i="1" s="1"/>
  <c r="E78" i="1"/>
  <c r="H65" i="1"/>
  <c r="M49" i="1"/>
  <c r="M48" i="1"/>
  <c r="F42" i="1"/>
  <c r="F41" i="1"/>
  <c r="F40" i="1"/>
  <c r="D40" i="1"/>
  <c r="F39" i="1"/>
  <c r="G43" i="1" s="1"/>
  <c r="D39" i="1"/>
  <c r="G34" i="1"/>
  <c r="N33" i="1"/>
  <c r="G33" i="1"/>
  <c r="C33" i="1"/>
  <c r="F32" i="1"/>
  <c r="L31" i="1"/>
  <c r="K31" i="1"/>
  <c r="F31" i="1"/>
  <c r="G32" i="1" s="1"/>
  <c r="G30" i="1"/>
  <c r="C30" i="1"/>
  <c r="G29" i="1"/>
  <c r="H35" i="1" s="1"/>
  <c r="G27" i="1"/>
  <c r="G26" i="1"/>
  <c r="H27" i="1" s="1"/>
  <c r="E50" i="1" s="1"/>
  <c r="G50" i="1" s="1"/>
  <c r="H22" i="1"/>
  <c r="G22" i="1"/>
  <c r="F16" i="1"/>
  <c r="G13" i="1"/>
  <c r="E13" i="1"/>
  <c r="G12" i="1"/>
  <c r="G14" i="1" s="1"/>
  <c r="M8" i="1"/>
  <c r="G8" i="1" s="1"/>
  <c r="G9" i="1" s="1"/>
  <c r="H10" i="1" s="1"/>
  <c r="L8" i="1"/>
  <c r="G7" i="1"/>
  <c r="G5" i="1"/>
  <c r="G4" i="1"/>
  <c r="I2" i="1"/>
  <c r="A46" i="1" s="1"/>
  <c r="L62" i="1" l="1"/>
  <c r="F15" i="1"/>
  <c r="G16" i="1" s="1"/>
  <c r="H16" i="1"/>
  <c r="H37" i="1" s="1"/>
  <c r="G44" i="1"/>
  <c r="H46" i="1" s="1"/>
  <c r="L63" i="1"/>
  <c r="E47" i="1" l="1"/>
  <c r="H47" i="1" s="1"/>
  <c r="M63" i="1"/>
  <c r="M64" i="1" s="1"/>
  <c r="M66" i="1" l="1"/>
  <c r="M67" i="1" s="1"/>
  <c r="G52" i="1"/>
  <c r="E49" i="1"/>
  <c r="M50" i="1" l="1"/>
  <c r="M51" i="1" s="1"/>
  <c r="G49" i="1"/>
  <c r="G51" i="1" s="1"/>
  <c r="H52" i="1" s="1"/>
  <c r="H53" i="1" l="1"/>
  <c r="H54" i="1" s="1"/>
  <c r="H55" i="1" l="1"/>
  <c r="H56" i="1"/>
  <c r="G77" i="1" l="1"/>
  <c r="H59" i="1"/>
  <c r="H66" i="1" s="1"/>
  <c r="B66" i="1" s="1"/>
  <c r="E77" i="1" l="1"/>
  <c r="E79" i="1" s="1"/>
  <c r="E80" i="1" s="1"/>
  <c r="E90" i="1"/>
  <c r="E92" i="1" s="1"/>
  <c r="G79" i="1"/>
  <c r="G80" i="1" s="1"/>
  <c r="E85" i="1" s="1"/>
  <c r="F85" i="1" s="1"/>
  <c r="G85" i="1" s="1"/>
  <c r="H85" i="1" s="1"/>
  <c r="E103" i="1"/>
  <c r="E96" i="1" l="1"/>
  <c r="E94" i="1"/>
  <c r="E84" i="1"/>
  <c r="F84" i="1" s="1"/>
  <c r="G84" i="1" s="1"/>
  <c r="H84" i="1" s="1"/>
  <c r="E83" i="1"/>
  <c r="F83" i="1" s="1"/>
  <c r="G83" i="1" s="1"/>
  <c r="H83" i="1" s="1"/>
  <c r="E82" i="1"/>
  <c r="F82" i="1" s="1"/>
  <c r="G82" i="1" s="1"/>
  <c r="H82" i="1" s="1"/>
  <c r="H87" i="1" l="1"/>
  <c r="F96" i="1"/>
  <c r="H90" i="1" s="1"/>
  <c r="H91" i="1" l="1"/>
  <c r="K83" i="1"/>
  <c r="E106" i="1"/>
  <c r="K85" i="1" l="1"/>
  <c r="K84" i="1"/>
  <c r="H92" i="1"/>
  <c r="H93" i="1"/>
  <c r="E107" i="1" l="1"/>
  <c r="E109" i="1" s="1"/>
  <c r="E110" i="1" s="1"/>
  <c r="H104" i="1" s="1"/>
  <c r="E98" i="1"/>
  <c r="E99" i="1" s="1"/>
  <c r="E100" i="1" s="1"/>
  <c r="F100" i="1" s="1"/>
  <c r="H94" i="1" s="1"/>
  <c r="H95" i="1" l="1"/>
  <c r="H96" i="1" s="1"/>
  <c r="H99" i="1"/>
  <c r="H105" i="1"/>
  <c r="H106" i="1" s="1"/>
  <c r="H109" i="1" l="1"/>
  <c r="H7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I2" authorId="0" shapeId="0" xr:uid="{9366659D-875A-44AA-817C-624A4ED1B2EA}">
      <text>
        <r>
          <rPr>
            <b/>
            <sz val="8"/>
            <color indexed="81"/>
            <rFont val="Tahoma"/>
            <family val="2"/>
          </rPr>
          <t>RATHORE:</t>
        </r>
        <r>
          <rPr>
            <sz val="8"/>
            <color indexed="81"/>
            <rFont val="Tahoma"/>
            <family val="2"/>
          </rPr>
          <t xml:space="preserve">
</t>
        </r>
      </text>
    </comment>
    <comment ref="C61" authorId="0" shapeId="0" xr:uid="{686068DC-2E42-41D0-88FD-12BAB143E9AE}">
      <text>
        <r>
          <rPr>
            <b/>
            <sz val="8"/>
            <color indexed="81"/>
            <rFont val="Tahoma"/>
            <family val="2"/>
          </rPr>
          <t>RATHORE:</t>
        </r>
        <r>
          <rPr>
            <sz val="8"/>
            <color indexed="81"/>
            <rFont val="Tahoma"/>
            <family val="2"/>
          </rPr>
          <t xml:space="preserve">
</t>
        </r>
      </text>
    </comment>
    <comment ref="C62" authorId="0" shapeId="0" xr:uid="{36864D11-DC67-43CA-95F1-EB1859CC10E8}">
      <text>
        <r>
          <rPr>
            <b/>
            <sz val="8"/>
            <color indexed="81"/>
            <rFont val="Tahoma"/>
            <family val="2"/>
          </rPr>
          <t>RATHORE:</t>
        </r>
        <r>
          <rPr>
            <sz val="8"/>
            <color indexed="81"/>
            <rFont val="Tahoma"/>
            <family val="2"/>
          </rPr>
          <t xml:space="preserve">
</t>
        </r>
      </text>
    </comment>
    <comment ref="B66" authorId="0" shapeId="0" xr:uid="{994DCB7A-B70C-41B1-9284-FB9304AFA2F5}">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<sst xmlns="http://schemas.openxmlformats.org/spreadsheetml/2006/main" count="282" uniqueCount="260">
  <si>
    <t>Dr. V.K. Singhania's Book</t>
  </si>
  <si>
    <t>A S S E S S M E N T   Y E A R  :  2 0 2 2 - 23</t>
  </si>
  <si>
    <t>Case-7  (Woman, Director, Unlisted Comp,  Two Houses, Capital Gain..)</t>
  </si>
  <si>
    <t>Filing Date</t>
  </si>
  <si>
    <t>67th Edition:  August-2022</t>
  </si>
  <si>
    <t>Case Study-7</t>
  </si>
  <si>
    <t>Pg 553</t>
  </si>
  <si>
    <t>Ms Niharika Vij</t>
  </si>
  <si>
    <t>Exempted</t>
  </si>
  <si>
    <r>
      <t xml:space="preserve">SALARIES </t>
    </r>
    <r>
      <rPr>
        <sz val="10"/>
        <color theme="1"/>
        <rFont val="Arial"/>
        <family val="2"/>
      </rPr>
      <t>U/S 15-17</t>
    </r>
  </si>
  <si>
    <t>Amount (Rs.)</t>
  </si>
  <si>
    <t xml:space="preserve">Basic Salary </t>
  </si>
  <si>
    <t xml:space="preserve">Due date </t>
  </si>
  <si>
    <t>Sec 17(1)</t>
  </si>
  <si>
    <t>Basic Salary and Allowances</t>
  </si>
  <si>
    <t xml:space="preserve">Commission </t>
  </si>
  <si>
    <t>Sec 17(2)</t>
  </si>
  <si>
    <t xml:space="preserve">Value of Perquisites </t>
  </si>
  <si>
    <t>10(14)(ii)</t>
  </si>
  <si>
    <t>Hostel Expenditure Allowance</t>
  </si>
  <si>
    <t>Calculations</t>
  </si>
  <si>
    <t>Sec 17(3)</t>
  </si>
  <si>
    <t xml:space="preserve">Profit in lieu of Salary </t>
  </si>
  <si>
    <t xml:space="preserve">Leave Salary </t>
  </si>
  <si>
    <t xml:space="preserve">Gross Salary </t>
  </si>
  <si>
    <t>10(14)(i)</t>
  </si>
  <si>
    <t>Travelling Allowance</t>
  </si>
  <si>
    <t>Late Fees</t>
  </si>
  <si>
    <t>14(ii)+14(i)+5</t>
  </si>
  <si>
    <t>Less Exempt Allow u/s 10 (3600+40000+12000)</t>
  </si>
  <si>
    <t>Aug-Dec 22</t>
  </si>
  <si>
    <t xml:space="preserve">Net Salary </t>
  </si>
  <si>
    <t>10(5)</t>
  </si>
  <si>
    <t xml:space="preserve">Leave Travel Concession </t>
  </si>
  <si>
    <t>Sec 16(ia)</t>
  </si>
  <si>
    <t>Less Standard  Deduction</t>
  </si>
  <si>
    <t xml:space="preserve">Perquisite (Personal Attendant) </t>
  </si>
  <si>
    <r>
      <t xml:space="preserve">HOUSE PROPERTY </t>
    </r>
    <r>
      <rPr>
        <sz val="10"/>
        <color theme="1"/>
        <rFont val="Arial"/>
        <family val="2"/>
      </rPr>
      <t>U/S 22-27</t>
    </r>
  </si>
  <si>
    <t>Indore - Let Out</t>
  </si>
  <si>
    <t>Indore</t>
  </si>
  <si>
    <t>Annual Value  (Let-Out)</t>
  </si>
  <si>
    <t>1800000*100/90</t>
  </si>
  <si>
    <t>Rent net of TDS @ 10%</t>
  </si>
  <si>
    <t xml:space="preserve">Less  Municipal Taxes Paid </t>
  </si>
  <si>
    <t>Municipal Taxes</t>
  </si>
  <si>
    <t>Paid by Assessee</t>
  </si>
  <si>
    <t>Sec 24</t>
  </si>
  <si>
    <t xml:space="preserve">LESS: Deductions </t>
  </si>
  <si>
    <t>Std Ded 30%</t>
  </si>
  <si>
    <t>Outstanding</t>
  </si>
  <si>
    <t xml:space="preserve">Intt on H  Loan </t>
  </si>
  <si>
    <t>Paid by Tenant</t>
  </si>
  <si>
    <t xml:space="preserve">Intt on Loan for renewal </t>
  </si>
  <si>
    <t xml:space="preserve">Kolkata </t>
  </si>
  <si>
    <t xml:space="preserve">Annual Value  (SOP) </t>
  </si>
  <si>
    <t xml:space="preserve">Nil </t>
  </si>
  <si>
    <t>Kolkata - Self Occupied</t>
  </si>
  <si>
    <t>Municipal  Taxes paid by Assessee</t>
  </si>
  <si>
    <t xml:space="preserve">NIL </t>
  </si>
  <si>
    <t>Municipal Taxes Outstanding</t>
  </si>
  <si>
    <t>Intt on Loan for purchase  (FY 2008-09)</t>
  </si>
  <si>
    <t>Fire Insurance Prem</t>
  </si>
  <si>
    <r>
      <t xml:space="preserve">CAPITAL GAINS </t>
    </r>
    <r>
      <rPr>
        <sz val="10"/>
        <color theme="1"/>
        <rFont val="Arial"/>
        <family val="2"/>
      </rPr>
      <t>U/S 45 - 55</t>
    </r>
  </si>
  <si>
    <t>Sale of Personal Diamonds on 20-02-22</t>
  </si>
  <si>
    <t>SHORT TERM CAPITAL GAIN</t>
  </si>
  <si>
    <t>Acq Cost (FY 1977-78)</t>
  </si>
  <si>
    <t xml:space="preserve">LONG TERM CAPITAL GAIN - Diamonds </t>
  </si>
  <si>
    <t>FMV as on 01-04-2001</t>
  </si>
  <si>
    <t xml:space="preserve">Sale Consideration </t>
  </si>
  <si>
    <t>FMV as on 01-04-1981</t>
  </si>
  <si>
    <t>CII = 317</t>
  </si>
  <si>
    <t xml:space="preserve">Less Indexed Acq Cost </t>
  </si>
  <si>
    <t xml:space="preserve">(72000 * 317 / 100) </t>
  </si>
  <si>
    <r>
      <t xml:space="preserve">OTHER SOURCES </t>
    </r>
    <r>
      <rPr>
        <sz val="10"/>
        <color theme="1"/>
        <rFont val="Arial"/>
        <family val="2"/>
      </rPr>
      <t>U/S 56-59</t>
    </r>
  </si>
  <si>
    <t xml:space="preserve">Saving Bank Interest </t>
  </si>
  <si>
    <t>Intt on Deposits to Amar Construction</t>
  </si>
  <si>
    <t>Accrued Interest on NSCs (70000 * 0.079)</t>
  </si>
  <si>
    <t xml:space="preserve">Intt on Deposits to Amar Construction Ltd (No TDS) </t>
  </si>
  <si>
    <t xml:space="preserve">Gift from Colleague in Cash </t>
  </si>
  <si>
    <t xml:space="preserve">Dividend on Pref Shares </t>
  </si>
  <si>
    <t>No TDS</t>
  </si>
  <si>
    <t>Gift from Non-Relative exceeding Rs. 50000</t>
  </si>
  <si>
    <t>Intt on Income Tax Refund 01-12-21</t>
  </si>
  <si>
    <t xml:space="preserve">Gift from Mama ji </t>
  </si>
  <si>
    <t>GROSS TOTAL INCOME</t>
  </si>
  <si>
    <t xml:space="preserve">LESS: DEDUCTIONS UNDER CHAPTER VI-A </t>
  </si>
  <si>
    <t>Recognised Prov Fund</t>
  </si>
  <si>
    <t xml:space="preserve">Sec  80C </t>
  </si>
  <si>
    <t>Public Prov Fund</t>
  </si>
  <si>
    <t xml:space="preserve">NPS </t>
  </si>
  <si>
    <t>NSCs Purchased (17-03-22)</t>
  </si>
  <si>
    <t>Investment in NSCs (08-01-21)</t>
  </si>
  <si>
    <t>Accrued Intt on NSCs (08-01-21)</t>
  </si>
  <si>
    <t>Investment in NSCs (17-03-22)</t>
  </si>
  <si>
    <t xml:space="preserve">(Rs. 70000 * 0.079) First Year </t>
  </si>
  <si>
    <r>
      <t xml:space="preserve">Sec  80CCD(1) </t>
    </r>
    <r>
      <rPr>
        <sz val="9"/>
        <color theme="1"/>
        <rFont val="Arial"/>
        <family val="2"/>
      </rPr>
      <t>NPS</t>
    </r>
  </si>
  <si>
    <r>
      <t xml:space="preserve">Sec  80CCD(1B) </t>
    </r>
    <r>
      <rPr>
        <sz val="9"/>
        <color theme="1"/>
        <rFont val="Arial"/>
        <family val="2"/>
      </rPr>
      <t>New Pension Scheme  Max 50000</t>
    </r>
  </si>
  <si>
    <t>Sec 80TTA</t>
  </si>
  <si>
    <t>SB Interest</t>
  </si>
  <si>
    <t xml:space="preserve">TOTAL  INCOME </t>
  </si>
  <si>
    <t>Rounding Off u/s 288A</t>
  </si>
  <si>
    <t xml:space="preserve">Income tax </t>
  </si>
  <si>
    <t xml:space="preserve">TAX ON TOTAL INCOME </t>
  </si>
  <si>
    <t xml:space="preserve">INCOME  </t>
  </si>
  <si>
    <t>RATE</t>
  </si>
  <si>
    <t>TAX</t>
  </si>
  <si>
    <t>250,000  to  500,000</t>
  </si>
  <si>
    <t>NORMAL INCOME</t>
  </si>
  <si>
    <t>500,000 to 1000,000</t>
  </si>
  <si>
    <t xml:space="preserve">LTCG </t>
  </si>
  <si>
    <t>SPECIAL INCOME</t>
  </si>
  <si>
    <t xml:space="preserve">      Above   1000,000</t>
  </si>
  <si>
    <t>Sec 87A</t>
  </si>
  <si>
    <r>
      <t xml:space="preserve">LESS : REBATE  </t>
    </r>
    <r>
      <rPr>
        <sz val="8"/>
        <color theme="1"/>
        <rFont val="Arial Narrow"/>
        <family val="2"/>
      </rPr>
      <t>(Rs. 12500, if Total Income upto Rs. 5 Lakhs)</t>
    </r>
  </si>
  <si>
    <r>
      <t xml:space="preserve">ADD : SURCHARGE  </t>
    </r>
    <r>
      <rPr>
        <sz val="8"/>
        <color theme="1"/>
        <rFont val="Arial"/>
        <family val="2"/>
      </rPr>
      <t>(10 % / 15% / 25% / 37%)</t>
    </r>
  </si>
  <si>
    <t>Details of Assets &amp; Liabilities</t>
  </si>
  <si>
    <t xml:space="preserve">Acq Cost </t>
  </si>
  <si>
    <t>Resi House Property - Indore</t>
  </si>
  <si>
    <t xml:space="preserve">ADD : HEALTH &amp; EDUCATION CESS (4 % on Income Tax + Surcharge) </t>
  </si>
  <si>
    <t>Resi House Property  - Kolkata</t>
  </si>
  <si>
    <r>
      <t>TOTAL TAX PAYABLE</t>
    </r>
    <r>
      <rPr>
        <sz val="10"/>
        <color theme="1"/>
        <rFont val="Arial"/>
        <family val="2"/>
      </rPr>
      <t xml:space="preserve"> (including Surcharge &amp; Cesses) </t>
    </r>
  </si>
  <si>
    <t xml:space="preserve">Shares (org Cost) </t>
  </si>
  <si>
    <t xml:space="preserve">ADD : INTEREST U/S 234A, 234B &amp; 234C </t>
  </si>
  <si>
    <t>Interest in the Month i.e Dec-22</t>
  </si>
  <si>
    <t>Cash in Hand</t>
  </si>
  <si>
    <t xml:space="preserve">ADD : Late Fees U/S 234F </t>
  </si>
  <si>
    <t>Aug-Dec 2022</t>
  </si>
  <si>
    <t xml:space="preserve">NSCs (17-03-22) Purchased </t>
  </si>
  <si>
    <t>TOTAL TAX AND INTEREST PAYABLE</t>
  </si>
  <si>
    <t xml:space="preserve">TAX PAID U/S 199 : </t>
  </si>
  <si>
    <t xml:space="preserve">Advance Tax Paid  U/S 210 </t>
  </si>
  <si>
    <t>TDS to be deducted  by the Employer</t>
  </si>
  <si>
    <t>Self-Assessment Tax Paid  U/S 140A</t>
  </si>
  <si>
    <t xml:space="preserve">Salary after Std Deduction </t>
  </si>
  <si>
    <t xml:space="preserve">T. D. S.  U/S 192 </t>
  </si>
  <si>
    <t>Employer</t>
  </si>
  <si>
    <t>Deds 80C_80CCD(1), 80CCD (1B)</t>
  </si>
  <si>
    <t>T. D. S.  U/S 194-I</t>
  </si>
  <si>
    <t>Tenant</t>
  </si>
  <si>
    <t xml:space="preserve">Income Tax </t>
  </si>
  <si>
    <t xml:space="preserve">Surcharge </t>
  </si>
  <si>
    <t>Rounding Off u/s 288B</t>
  </si>
  <si>
    <t xml:space="preserve">HEC </t>
  </si>
  <si>
    <t xml:space="preserve">Tax Cals by Dr SB Rathore, Former Associate Professor of Commerce;  42 yrs Teaching Experience (Oct-77 to Dec-19) in Shyam Lal College (University of Delhi) </t>
  </si>
  <si>
    <t>Website: www.taxclasses.in</t>
  </si>
  <si>
    <t xml:space="preserve">FaceBook: DrSB Rathore </t>
  </si>
  <si>
    <t>YouTube: Tax Doctor</t>
  </si>
  <si>
    <t>Transport Allowance</t>
  </si>
  <si>
    <t xml:space="preserve">Resi  to Office </t>
  </si>
  <si>
    <t xml:space="preserve">Sec 10(14) (ii) </t>
  </si>
  <si>
    <t xml:space="preserve">Taxable </t>
  </si>
  <si>
    <t>Conveyance Allowance</t>
  </si>
  <si>
    <t xml:space="preserve">Local </t>
  </si>
  <si>
    <t xml:space="preserve">Sec 10(14) (i) </t>
  </si>
  <si>
    <t>Received</t>
  </si>
  <si>
    <t>Less Spent</t>
  </si>
  <si>
    <t xml:space="preserve">Diff Taxable </t>
  </si>
  <si>
    <t xml:space="preserve">Out of Station </t>
  </si>
  <si>
    <t xml:space="preserve">Calculation  of Interest under Sections 234A, 234B &amp; 234C </t>
  </si>
  <si>
    <t>Total Interest</t>
  </si>
  <si>
    <t>Part -B</t>
  </si>
  <si>
    <t>80C - 80GGC</t>
  </si>
  <si>
    <t>Section 234C: In case of Non-Sr Citizen: If  Amount Exceeds Rs. 10000</t>
  </si>
  <si>
    <t>Part -C</t>
  </si>
  <si>
    <t>80H - 80RRB</t>
  </si>
  <si>
    <t>Total Tax, Surcharge &amp; Cess</t>
  </si>
  <si>
    <t>Part- CA</t>
  </si>
  <si>
    <t>80TTA, 80TTB</t>
  </si>
  <si>
    <t>Less TDS by the Employer, Bank</t>
  </si>
  <si>
    <t>Part-D</t>
  </si>
  <si>
    <t>80U</t>
  </si>
  <si>
    <t xml:space="preserve">Liability for Advance tax </t>
  </si>
  <si>
    <t>Deposit Date</t>
  </si>
  <si>
    <t xml:space="preserve">Tax Amount </t>
  </si>
  <si>
    <t>Last Date</t>
  </si>
  <si>
    <t xml:space="preserve">Amount </t>
  </si>
  <si>
    <t>Round Down by 100</t>
  </si>
  <si>
    <t xml:space="preserve">Shortfall </t>
  </si>
  <si>
    <t>Interest</t>
  </si>
  <si>
    <t xml:space="preserve">Month </t>
  </si>
  <si>
    <t>Interest u/s 234C</t>
  </si>
  <si>
    <t>Oct</t>
  </si>
  <si>
    <t xml:space="preserve">Nov </t>
  </si>
  <si>
    <t xml:space="preserve">Dec </t>
  </si>
  <si>
    <t>Section 234B:  If  Amount Exceeds Rs. 10000 (Less than 90 %.....)</t>
  </si>
  <si>
    <t xml:space="preserve"> Tax Liability after TDS</t>
  </si>
  <si>
    <t>Advance Tax   till 31-03-2022</t>
  </si>
  <si>
    <t xml:space="preserve">Tax Liability after Advance Tax </t>
  </si>
  <si>
    <t>Interest u/s 234B</t>
  </si>
  <si>
    <t xml:space="preserve">Self-Assessment Tax Paid </t>
  </si>
  <si>
    <t xml:space="preserve">Adjusted for  Intt u/s 234B &amp; 234C  </t>
  </si>
  <si>
    <t xml:space="preserve">Net Amt Paid </t>
  </si>
  <si>
    <t>Tax Liability after Self-Assessment Tax</t>
  </si>
  <si>
    <t>Section 234A</t>
  </si>
  <si>
    <t>Less Advance tax paid by 31-03-2022</t>
  </si>
  <si>
    <t>Add Interest u/s 234C till 31-03-2022</t>
  </si>
  <si>
    <t>Add Interest u/s 234B till 30-06-22</t>
  </si>
  <si>
    <t>Less Self-Assessment Tax on 04-07-22</t>
  </si>
  <si>
    <t xml:space="preserve">Sec 10(14) : Special Allowances prescribed as exempt </t>
  </si>
  <si>
    <t>Granted &amp; Incurred</t>
  </si>
  <si>
    <t>Sec 10(14)(i) : Exemption depend upon Actual Expenditure by the Employee</t>
  </si>
  <si>
    <t xml:space="preserve">Lower of (a) Allowance Amount or (b) Amount spent for specific purose </t>
  </si>
  <si>
    <r>
      <t>(</t>
    </r>
    <r>
      <rPr>
        <i/>
        <sz val="9"/>
        <color rgb="FF3E3E3E"/>
        <rFont val="Arial"/>
        <family val="2"/>
      </rPr>
      <t>a</t>
    </r>
    <r>
      <rPr>
        <sz val="9"/>
        <color rgb="FF3E3E3E"/>
        <rFont val="Arial"/>
        <family val="2"/>
      </rPr>
      <t>)</t>
    </r>
  </si>
  <si>
    <t>any allowance granted to meet the cost of travel on tour or on transfer;</t>
  </si>
  <si>
    <t>Travelling / Tour</t>
  </si>
  <si>
    <r>
      <t>(</t>
    </r>
    <r>
      <rPr>
        <i/>
        <sz val="9"/>
        <color rgb="FF3E3E3E"/>
        <rFont val="Arial"/>
        <family val="2"/>
      </rPr>
      <t>b</t>
    </r>
    <r>
      <rPr>
        <sz val="9"/>
        <color rgb="FF3E3E3E"/>
        <rFont val="Arial"/>
        <family val="2"/>
      </rPr>
      <t>)</t>
    </r>
  </si>
  <si>
    <t>any allowance, whether, granted on tour or for the period of journey in connection with transfer, to meet the ordinary daily charges incurred by an employee on account of absence from his normal place of duty;</t>
  </si>
  <si>
    <t>Conveyance</t>
  </si>
  <si>
    <r>
      <t>(</t>
    </r>
    <r>
      <rPr>
        <i/>
        <sz val="9"/>
        <color rgb="FF3E3E3E"/>
        <rFont val="Arial"/>
        <family val="2"/>
      </rPr>
      <t>c</t>
    </r>
    <r>
      <rPr>
        <sz val="9"/>
        <color rgb="FF3E3E3E"/>
        <rFont val="Arial"/>
        <family val="2"/>
      </rPr>
      <t>)</t>
    </r>
  </si>
  <si>
    <t>any allowance granted to meet the expenditure incurred on con-veyance in performance of duties of an office or employment of profit :</t>
  </si>
  <si>
    <t xml:space="preserve">Daily </t>
  </si>
  <si>
    <r>
      <t>(</t>
    </r>
    <r>
      <rPr>
        <i/>
        <sz val="9"/>
        <color rgb="FF3E3E3E"/>
        <rFont val="Arial"/>
        <family val="2"/>
      </rPr>
      <t>d</t>
    </r>
    <r>
      <rPr>
        <sz val="9"/>
        <color rgb="FF3E3E3E"/>
        <rFont val="Arial"/>
        <family val="2"/>
      </rPr>
      <t>)</t>
    </r>
  </si>
  <si>
    <t>any allowance granted to meet the expenditure incurred on a helper where such helper is engaged for the performance of the duties of an office or employment of profit;</t>
  </si>
  <si>
    <t>Helper</t>
  </si>
  <si>
    <r>
      <t>(</t>
    </r>
    <r>
      <rPr>
        <i/>
        <sz val="9"/>
        <color rgb="FF3E3E3E"/>
        <rFont val="Arial"/>
        <family val="2"/>
      </rPr>
      <t>e</t>
    </r>
    <r>
      <rPr>
        <sz val="9"/>
        <color rgb="FF3E3E3E"/>
        <rFont val="Arial"/>
        <family val="2"/>
      </rPr>
      <t>)</t>
    </r>
  </si>
  <si>
    <t>any allowance granted for encouraging the academic, research and training pursuits in educational and research institutions;</t>
  </si>
  <si>
    <t>Research</t>
  </si>
  <si>
    <r>
      <t>(</t>
    </r>
    <r>
      <rPr>
        <i/>
        <sz val="9"/>
        <color rgb="FF3E3E3E"/>
        <rFont val="Arial"/>
        <family val="2"/>
      </rPr>
      <t>f</t>
    </r>
    <r>
      <rPr>
        <sz val="9"/>
        <color rgb="FF3E3E3E"/>
        <rFont val="Arial"/>
        <family val="2"/>
      </rPr>
      <t>)</t>
    </r>
  </si>
  <si>
    <t>any allowance granted to meet the expenditure incurred on the purchase or maintenance of uniform for wear during the performance of the duties of an office or employment of profit.</t>
  </si>
  <si>
    <t>Uniform</t>
  </si>
  <si>
    <r>
      <t>Explanation</t>
    </r>
    <r>
      <rPr>
        <sz val="8"/>
        <color rgb="FF3E3E3E"/>
        <rFont val="Times New Roman"/>
        <family val="1"/>
      </rPr>
      <t> : For the purpose of clause (</t>
    </r>
    <r>
      <rPr>
        <i/>
        <sz val="8"/>
        <color rgb="FF3E3E3E"/>
        <rFont val="Times New Roman"/>
        <family val="1"/>
      </rPr>
      <t>a</t>
    </r>
    <r>
      <rPr>
        <sz val="8"/>
        <color rgb="FF3E3E3E"/>
        <rFont val="Times New Roman"/>
        <family val="1"/>
      </rPr>
      <t>), “allowance granted to meet the cost of travel on transfer” includes any sum paid in connection with transfer, packing and transportation of personal effects on such transfer.</t>
    </r>
  </si>
  <si>
    <t>for Clause © Provided that free conveyance is not provided by the employer;</t>
  </si>
  <si>
    <t xml:space="preserve">Granted </t>
  </si>
  <si>
    <t>Sec 10(14)(ii) : Exemption not dependent upon Actual Expenditure</t>
  </si>
  <si>
    <t>Lower of (a) Allowance Amount or (b) Amount specified in Rule 2BB</t>
  </si>
  <si>
    <t>Children Education  Allow</t>
  </si>
  <si>
    <t>Rs. 100 per month per child subject to max of  2 Children</t>
  </si>
  <si>
    <t>Hostel Expenditure Allow</t>
  </si>
  <si>
    <t>Rs. 300 per month per child subject to max of  2 Children</t>
  </si>
  <si>
    <t>Border Area Allowance</t>
  </si>
  <si>
    <t>Range Rs. 200 per month to Rs. 1300 per month</t>
  </si>
  <si>
    <t>Tribal Area/Scheduled Area</t>
  </si>
  <si>
    <t>Rs. 200 per month</t>
  </si>
  <si>
    <t xml:space="preserve">High Altitude Allowance </t>
  </si>
  <si>
    <t xml:space="preserve">Rs. 1060 per month (Altitude 9000 to 15000 feet); 1600 pm (Above 15000 Feet) </t>
  </si>
  <si>
    <t xml:space="preserve">Island Duty Allowance </t>
  </si>
  <si>
    <t xml:space="preserve">Rs. 3250 per month  (Andaman &amp; Nocobar;  Lakshadweep) </t>
  </si>
  <si>
    <t xml:space="preserve">Highly Active Field </t>
  </si>
  <si>
    <t xml:space="preserve">Rs. 4200 per month </t>
  </si>
  <si>
    <t>Transport Allow (Sec 80U)</t>
  </si>
  <si>
    <t xml:space="preserve">Rs. 3200 per month </t>
  </si>
  <si>
    <t xml:space="preserve">Sec 17 (1) </t>
  </si>
  <si>
    <t>Less Allowances u/s 10</t>
  </si>
  <si>
    <t xml:space="preserve">Less Deds u/s 16 </t>
  </si>
  <si>
    <t xml:space="preserve">Sec 10(5) Leave Travel </t>
  </si>
  <si>
    <t xml:space="preserve">Std Ded  u/s 16 (ia) </t>
  </si>
  <si>
    <t>Dearness Allowance</t>
  </si>
  <si>
    <t>Sec 10(13A) HRA</t>
  </si>
  <si>
    <t>Employment Tax</t>
  </si>
  <si>
    <t xml:space="preserve">Sec 10(14)(i) Conveyance </t>
  </si>
  <si>
    <t>House Rent Allowance</t>
  </si>
  <si>
    <t>Sec 10(14)(iI) CEA</t>
  </si>
  <si>
    <t>Leave Travel Allowance</t>
  </si>
  <si>
    <t>Children Edu Allowance</t>
  </si>
  <si>
    <t>Other Allowances</t>
  </si>
  <si>
    <t xml:space="preserve">Sec 17 (2) Perks </t>
  </si>
  <si>
    <t xml:space="preserve">Accommodation </t>
  </si>
  <si>
    <t xml:space="preserve">Car </t>
  </si>
  <si>
    <t>Others</t>
  </si>
  <si>
    <t xml:space="preserve">Sec 17 (3) Profit In lieu of Salary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</si>
</sst>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d\-mmm\-yy;@"/>
    <numFmt numFmtId="165" formatCode="[$-409]d\-mmm\-yy;@"/>
  </numFmts>
  <fonts count="77" x14ac:knownFonts="1">
    <font>
      <sz val="10"/>
      <name val="Arial"/>
    </font>
    <font>
      <sz val="10"/>
      <name val="Arial"/>
      <family val="2"/>
    </font>
    <font>
      <b/>
      <sz val="8"/>
      <color rgb="FF2B0CE4"/>
      <name val="Arial"/>
      <family val="2"/>
    </font>
    <font>
      <sz val="11"/>
      <color theme="1"/>
      <name val="Arial"/>
      <family val="2"/>
    </font>
    <font>
      <sz val="10"/>
      <color rgb="FFC00000"/>
      <name val="Arial Narrow"/>
      <family val="2"/>
    </font>
    <font>
      <sz val="9"/>
      <color rgb="FF0000FF"/>
      <name val="Arial"/>
      <family val="2"/>
    </font>
    <font>
      <b/>
      <sz val="8"/>
      <color rgb="FFC00000"/>
      <name val="Arial"/>
      <family val="2"/>
    </font>
    <font>
      <b/>
      <sz val="9"/>
      <color theme="1"/>
      <name val="Arial"/>
      <family val="2"/>
    </font>
    <font>
      <sz val="8"/>
      <color theme="1"/>
      <name val="Arial"/>
      <family val="2"/>
    </font>
    <font>
      <sz val="10"/>
      <color rgb="FF0000FF"/>
      <name val="Arial"/>
      <family val="2"/>
    </font>
    <font>
      <sz val="9"/>
      <color rgb="FFC00000"/>
      <name val="Arial"/>
      <family val="2"/>
    </font>
    <font>
      <b/>
      <sz val="8"/>
      <color rgb="FF0000FF"/>
      <name val="Arial"/>
      <family val="2"/>
    </font>
    <font>
      <sz val="10"/>
      <color theme="1"/>
      <name val="Arial"/>
      <family val="2"/>
    </font>
    <font>
      <b/>
      <u/>
      <sz val="10"/>
      <color theme="1"/>
      <name val="Arial"/>
      <family val="2"/>
    </font>
    <font>
      <b/>
      <sz val="8"/>
      <color theme="1"/>
      <name val="Arial"/>
      <family val="2"/>
    </font>
    <font>
      <sz val="9"/>
      <color theme="1"/>
      <name val="Arial"/>
      <family val="2"/>
    </font>
    <font>
      <b/>
      <sz val="10"/>
      <color theme="1"/>
      <name val="Arial"/>
      <family val="2"/>
    </font>
    <font>
      <i/>
      <sz val="10"/>
      <color theme="1"/>
      <name val="Arial"/>
      <family val="2"/>
    </font>
    <font>
      <b/>
      <sz val="8"/>
      <name val="Arial"/>
      <family val="2"/>
    </font>
    <font>
      <i/>
      <sz val="8"/>
      <color theme="1"/>
      <name val="Arial"/>
      <family val="2"/>
    </font>
    <font>
      <b/>
      <sz val="10"/>
      <color rgb="FF0000FF"/>
      <name val="Arial"/>
      <family val="2"/>
    </font>
    <font>
      <b/>
      <sz val="8"/>
      <color rgb="FF7030A0"/>
      <name val="Arial"/>
      <family val="2"/>
    </font>
    <font>
      <sz val="9"/>
      <color rgb="FF7030A0"/>
      <name val="Arial"/>
      <family val="2"/>
    </font>
    <font>
      <sz val="10"/>
      <color theme="9" tint="-0.499984740745262"/>
      <name val="Arial"/>
      <family val="2"/>
    </font>
    <font>
      <b/>
      <sz val="9"/>
      <color rgb="FFC00000"/>
      <name val="Arial"/>
      <family val="2"/>
    </font>
    <font>
      <sz val="9"/>
      <name val="Arial"/>
      <family val="2"/>
    </font>
    <font>
      <sz val="10"/>
      <color rgb="FF7030A0"/>
      <name val="Arial"/>
      <family val="2"/>
    </font>
    <font>
      <i/>
      <sz val="10"/>
      <color theme="7" tint="-0.249977111117893"/>
      <name val="Arial"/>
      <family val="2"/>
    </font>
    <font>
      <sz val="10"/>
      <color theme="7" tint="-0.249977111117893"/>
      <name val="Arial"/>
      <family val="2"/>
    </font>
    <font>
      <i/>
      <sz val="8"/>
      <color rgb="FFC00000"/>
      <name val="Arial"/>
      <family val="2"/>
    </font>
    <font>
      <i/>
      <sz val="9"/>
      <color theme="1"/>
      <name val="Arial"/>
      <family val="2"/>
    </font>
    <font>
      <sz val="8"/>
      <color theme="1"/>
      <name val="Arial Narrow"/>
      <family val="2"/>
    </font>
    <font>
      <sz val="10"/>
      <color theme="3" tint="-0.249977111117893"/>
      <name val="Arial"/>
      <family val="2"/>
    </font>
    <font>
      <u/>
      <sz val="10"/>
      <color theme="1"/>
      <name val="Arial"/>
      <family val="2"/>
    </font>
    <font>
      <i/>
      <u/>
      <sz val="10"/>
      <color theme="1"/>
      <name val="Arial"/>
      <family val="2"/>
    </font>
    <font>
      <sz val="8"/>
      <color rgb="FF0000FF"/>
      <name val="Arial"/>
      <family val="2"/>
    </font>
    <font>
      <sz val="9"/>
      <color rgb="FFFF0000"/>
      <name val="Arial"/>
      <family val="2"/>
    </font>
    <font>
      <b/>
      <sz val="9"/>
      <color rgb="FF0000FF"/>
      <name val="Arial"/>
      <family val="2"/>
    </font>
    <font>
      <sz val="11"/>
      <color rgb="FF515656"/>
      <name val="Arial"/>
      <family val="2"/>
    </font>
    <font>
      <b/>
      <sz val="10"/>
      <color rgb="FFC00000"/>
      <name val="Arial Narrow"/>
      <family val="2"/>
    </font>
    <font>
      <b/>
      <sz val="10"/>
      <color rgb="FFC00000"/>
      <name val="Arial"/>
      <family val="2"/>
    </font>
    <font>
      <b/>
      <sz val="9"/>
      <color rgb="FF0000FF"/>
      <name val="Arial Narrow"/>
      <family val="2"/>
    </font>
    <font>
      <b/>
      <sz val="9"/>
      <color rgb="FFFF0000"/>
      <name val="Arial Narrow"/>
      <family val="2"/>
    </font>
    <font>
      <sz val="10"/>
      <color rgb="FFC00000"/>
      <name val="Arial"/>
      <family val="2"/>
    </font>
    <font>
      <sz val="10"/>
      <color theme="1"/>
      <name val="Arial Narrow"/>
      <family val="2"/>
    </font>
    <font>
      <sz val="9"/>
      <color rgb="FF00B0F0"/>
      <name val="Arial"/>
      <family val="2"/>
    </font>
    <font>
      <sz val="9"/>
      <color theme="1"/>
      <name val="Arial Narrow"/>
      <family val="2"/>
    </font>
    <font>
      <b/>
      <sz val="9"/>
      <color theme="7" tint="-0.249977111117893"/>
      <name val="Arial"/>
      <family val="2"/>
    </font>
    <font>
      <sz val="8"/>
      <color rgb="FF2B0CE4"/>
      <name val="Arial Narrow"/>
      <family val="2"/>
    </font>
    <font>
      <sz val="8"/>
      <name val="Arial"/>
      <family val="2"/>
    </font>
    <font>
      <sz val="9"/>
      <color theme="9" tint="-0.249977111117893"/>
      <name val="Arial"/>
      <family val="2"/>
    </font>
    <font>
      <sz val="8"/>
      <name val="Arial Narrow"/>
      <family val="2"/>
    </font>
    <font>
      <sz val="8"/>
      <color theme="5" tint="-0.249977111117893"/>
      <name val="Arial Narrow"/>
      <family val="2"/>
    </font>
    <font>
      <sz val="8"/>
      <color rgb="FF7030A0"/>
      <name val="Arial Narrow"/>
      <family val="2"/>
    </font>
    <font>
      <sz val="9"/>
      <color theme="8" tint="-0.249977111117893"/>
      <name val="Arial"/>
      <family val="2"/>
    </font>
    <font>
      <b/>
      <sz val="10"/>
      <color indexed="12"/>
      <name val="Arial"/>
      <family val="2"/>
    </font>
    <font>
      <b/>
      <sz val="10"/>
      <name val="Arial"/>
      <family val="2"/>
    </font>
    <font>
      <sz val="8"/>
      <color rgb="FFFF0000"/>
      <name val="Arial"/>
      <family val="2"/>
    </font>
    <font>
      <b/>
      <sz val="9"/>
      <color theme="9" tint="-0.249977111117893"/>
      <name val="Arial"/>
      <family val="2"/>
    </font>
    <font>
      <sz val="10"/>
      <color indexed="12"/>
      <name val="Arial"/>
      <family val="2"/>
    </font>
    <font>
      <sz val="10"/>
      <color rgb="FFFF0000"/>
      <name val="Arial"/>
      <family val="2"/>
    </font>
    <font>
      <i/>
      <sz val="10"/>
      <name val="Arial"/>
      <family val="2"/>
    </font>
    <font>
      <sz val="10"/>
      <color theme="8" tint="0.39997558519241921"/>
      <name val="Arial"/>
      <family val="2"/>
    </font>
    <font>
      <sz val="10"/>
      <color rgb="FF00B050"/>
      <name val="Arial"/>
      <family val="2"/>
    </font>
    <font>
      <b/>
      <sz val="10"/>
      <color rgb="FFAA1695"/>
      <name val="Arial"/>
      <family val="2"/>
    </font>
    <font>
      <b/>
      <sz val="9"/>
      <color theme="5" tint="-0.249977111117893"/>
      <name val="Arial"/>
      <family val="2"/>
    </font>
    <font>
      <b/>
      <sz val="9"/>
      <color rgb="FFAA1695"/>
      <name val="Arial"/>
      <family val="2"/>
    </font>
    <font>
      <sz val="9"/>
      <color rgb="FF3E3E3E"/>
      <name val="Arial"/>
      <family val="2"/>
    </font>
    <font>
      <i/>
      <sz val="9"/>
      <color rgb="FF3E3E3E"/>
      <name val="Arial"/>
      <family val="2"/>
    </font>
    <font>
      <sz val="9"/>
      <color rgb="FF3E3E3E"/>
      <name val="Times New Roman"/>
      <family val="1"/>
    </font>
    <font>
      <i/>
      <sz val="8"/>
      <color rgb="FF3E3E3E"/>
      <name val="Times New Roman"/>
      <family val="1"/>
    </font>
    <font>
      <sz val="8"/>
      <color rgb="FF3E3E3E"/>
      <name val="Times New Roman"/>
      <family val="1"/>
    </font>
    <font>
      <b/>
      <sz val="10"/>
      <color theme="5" tint="-0.249977111117893"/>
      <name val="Arial"/>
      <family val="2"/>
    </font>
    <font>
      <sz val="12"/>
      <color theme="1"/>
      <name val="Arial"/>
      <family val="2"/>
    </font>
    <font>
      <sz val="11"/>
      <name val="Arial"/>
      <family val="2"/>
    </font>
    <font>
      <b/>
      <sz val="8"/>
      <color indexed="81"/>
      <name val="Tahoma"/>
      <family val="2"/>
    </font>
    <font>
      <sz val="8"/>
      <color indexed="81"/>
      <name val="Tahoma"/>
      <family val="2"/>
    </font>
  </fonts>
  <fills count="10">
    <fill>
      <patternFill patternType="none"/>
    </fill>
    <fill>
      <patternFill patternType="gray125"/>
    </fill>
    <fill>
      <patternFill patternType="solid">
        <fgColor theme="0" tint="-4.9989318521683403E-2"/>
        <bgColor indexed="64"/>
      </patternFill>
    </fill>
    <fill>
      <patternFill patternType="solid">
        <fgColor indexed="42"/>
        <bgColor indexed="64"/>
      </patternFill>
    </fill>
    <fill>
      <patternFill patternType="solid">
        <fgColor rgb="FFFFFF00"/>
        <bgColor indexed="64"/>
      </patternFill>
    </fill>
    <fill>
      <patternFill patternType="solid">
        <fgColor indexed="41"/>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style="double">
        <color indexed="64"/>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292">
    <xf numFmtId="0" fontId="0" fillId="0" borderId="0" xfId="0"/>
    <xf numFmtId="0" fontId="3" fillId="0" borderId="3" xfId="2" applyFont="1" applyBorder="1" applyAlignment="1">
      <alignment horizontal="center"/>
    </xf>
    <xf numFmtId="0" fontId="5" fillId="0" borderId="6" xfId="0" applyFont="1" applyBorder="1" applyAlignment="1">
      <alignment horizontal="center"/>
    </xf>
    <xf numFmtId="0" fontId="3" fillId="0" borderId="0" xfId="0" applyFont="1"/>
    <xf numFmtId="0" fontId="7" fillId="0" borderId="8" xfId="2" applyFont="1" applyBorder="1" applyAlignment="1">
      <alignment horizontal="center"/>
    </xf>
    <xf numFmtId="0" fontId="8" fillId="0" borderId="8" xfId="2" applyFont="1" applyBorder="1" applyAlignment="1">
      <alignment horizontal="center"/>
    </xf>
    <xf numFmtId="15" fontId="10" fillId="0" borderId="8" xfId="2" applyNumberFormat="1" applyFont="1" applyBorder="1" applyAlignment="1">
      <alignment horizontal="center"/>
    </xf>
    <xf numFmtId="1" fontId="11" fillId="2" borderId="9" xfId="0" applyNumberFormat="1" applyFont="1" applyFill="1" applyBorder="1" applyAlignment="1">
      <alignment horizontal="center" shrinkToFit="1"/>
    </xf>
    <xf numFmtId="0" fontId="12" fillId="0" borderId="0" xfId="0" applyFont="1" applyAlignment="1">
      <alignment horizontal="center"/>
    </xf>
    <xf numFmtId="0" fontId="12" fillId="0" borderId="0" xfId="0" applyFont="1"/>
    <xf numFmtId="15" fontId="5" fillId="0" borderId="10" xfId="0" applyNumberFormat="1" applyFont="1" applyBorder="1" applyAlignment="1">
      <alignment horizontal="center"/>
    </xf>
    <xf numFmtId="1" fontId="8" fillId="0" borderId="4" xfId="0" applyNumberFormat="1" applyFont="1" applyBorder="1" applyAlignment="1">
      <alignment shrinkToFit="1"/>
    </xf>
    <xf numFmtId="0" fontId="13" fillId="0" borderId="0" xfId="0" applyFont="1"/>
    <xf numFmtId="0" fontId="12" fillId="0" borderId="11" xfId="0" applyFont="1" applyBorder="1"/>
    <xf numFmtId="0" fontId="14" fillId="0" borderId="0" xfId="0" applyFont="1" applyAlignment="1">
      <alignment horizontal="center"/>
    </xf>
    <xf numFmtId="0" fontId="14" fillId="0" borderId="5" xfId="0" applyFont="1" applyBorder="1" applyAlignment="1">
      <alignment horizontal="center"/>
    </xf>
    <xf numFmtId="0" fontId="8" fillId="0" borderId="0" xfId="0" applyFont="1"/>
    <xf numFmtId="1" fontId="12" fillId="0" borderId="0" xfId="0" applyNumberFormat="1" applyFont="1"/>
    <xf numFmtId="0" fontId="10" fillId="0" borderId="10" xfId="0" applyFont="1" applyBorder="1" applyAlignment="1">
      <alignment horizontal="center"/>
    </xf>
    <xf numFmtId="0" fontId="8" fillId="0" borderId="4" xfId="0" applyFont="1" applyBorder="1" applyAlignment="1">
      <alignment shrinkToFit="1"/>
    </xf>
    <xf numFmtId="0" fontId="15" fillId="0" borderId="0" xfId="0" applyFont="1" applyAlignment="1">
      <alignment horizontal="left"/>
    </xf>
    <xf numFmtId="1" fontId="12" fillId="3" borderId="11" xfId="0" applyNumberFormat="1" applyFont="1" applyFill="1" applyBorder="1"/>
    <xf numFmtId="1" fontId="16" fillId="0" borderId="0" xfId="0" applyNumberFormat="1" applyFont="1"/>
    <xf numFmtId="1" fontId="16" fillId="0" borderId="5" xfId="0" applyNumberFormat="1" applyFont="1" applyBorder="1"/>
    <xf numFmtId="15" fontId="10" fillId="0" borderId="10" xfId="0" applyNumberFormat="1"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1" fontId="12" fillId="3" borderId="12" xfId="0" applyNumberFormat="1" applyFont="1" applyFill="1" applyBorder="1"/>
    <xf numFmtId="0" fontId="12" fillId="0" borderId="0" xfId="0" applyFont="1" applyAlignment="1">
      <alignment horizontal="right"/>
    </xf>
    <xf numFmtId="17" fontId="15" fillId="0" borderId="13" xfId="0" applyNumberFormat="1" applyFont="1" applyBorder="1" applyAlignment="1">
      <alignment horizontal="center"/>
    </xf>
    <xf numFmtId="0" fontId="17" fillId="0" borderId="0" xfId="0" applyFont="1" applyAlignment="1">
      <alignment horizontal="right"/>
    </xf>
    <xf numFmtId="1" fontId="12" fillId="0" borderId="14" xfId="0" applyNumberFormat="1" applyFont="1" applyBorder="1"/>
    <xf numFmtId="0" fontId="18" fillId="4" borderId="6" xfId="0" applyFont="1" applyFill="1" applyBorder="1" applyAlignment="1">
      <alignment horizontal="center"/>
    </xf>
    <xf numFmtId="0" fontId="19" fillId="0" borderId="0" xfId="0" applyFont="1"/>
    <xf numFmtId="0" fontId="20" fillId="0" borderId="15" xfId="0" applyFont="1" applyBorder="1" applyAlignment="1">
      <alignment horizontal="right" vertical="center"/>
    </xf>
    <xf numFmtId="17" fontId="21" fillId="0" borderId="10" xfId="0" applyNumberFormat="1" applyFont="1" applyBorder="1" applyAlignment="1">
      <alignment horizontal="center"/>
    </xf>
    <xf numFmtId="1" fontId="12" fillId="0" borderId="11" xfId="0" applyNumberFormat="1" applyFont="1" applyBorder="1"/>
    <xf numFmtId="0" fontId="22" fillId="0" borderId="13" xfId="0" applyFont="1" applyBorder="1" applyAlignment="1">
      <alignment horizontal="center"/>
    </xf>
    <xf numFmtId="0" fontId="15" fillId="0" borderId="0" xfId="0" applyFont="1"/>
    <xf numFmtId="0" fontId="7" fillId="0" borderId="0" xfId="0" applyFont="1"/>
    <xf numFmtId="0" fontId="5" fillId="0" borderId="0" xfId="0" applyFont="1"/>
    <xf numFmtId="0" fontId="23" fillId="0" borderId="0" xfId="0" applyFont="1"/>
    <xf numFmtId="0" fontId="24" fillId="0" borderId="0" xfId="0" applyFont="1" applyAlignment="1">
      <alignment horizontal="center"/>
    </xf>
    <xf numFmtId="0" fontId="25" fillId="0" borderId="0" xfId="0" applyFont="1" applyAlignment="1">
      <alignment horizontal="left"/>
    </xf>
    <xf numFmtId="0" fontId="22" fillId="0" borderId="0" xfId="0" applyFont="1" applyAlignment="1">
      <alignment horizontal="center"/>
    </xf>
    <xf numFmtId="0" fontId="12" fillId="5" borderId="0" xfId="0" applyFont="1" applyFill="1" applyAlignment="1">
      <alignment horizontal="right"/>
    </xf>
    <xf numFmtId="1" fontId="16" fillId="0" borderId="16" xfId="0" applyNumberFormat="1" applyFont="1" applyBorder="1"/>
    <xf numFmtId="0" fontId="25" fillId="0" borderId="0" xfId="0" applyFont="1"/>
    <xf numFmtId="0" fontId="12" fillId="5" borderId="12" xfId="0" applyFont="1" applyFill="1" applyBorder="1"/>
    <xf numFmtId="1" fontId="12" fillId="0" borderId="0" xfId="0" applyNumberFormat="1" applyFont="1" applyAlignment="1">
      <alignment horizontal="right"/>
    </xf>
    <xf numFmtId="0" fontId="23" fillId="0" borderId="0" xfId="0" applyFont="1" applyAlignment="1">
      <alignment horizontal="left" indent="1"/>
    </xf>
    <xf numFmtId="0" fontId="12" fillId="5" borderId="17" xfId="0" applyFont="1" applyFill="1" applyBorder="1"/>
    <xf numFmtId="0" fontId="12" fillId="0" borderId="12" xfId="0" applyFont="1" applyBorder="1"/>
    <xf numFmtId="0" fontId="26" fillId="0" borderId="0" xfId="0" applyFont="1" applyAlignment="1">
      <alignment horizontal="left"/>
    </xf>
    <xf numFmtId="0" fontId="12" fillId="0" borderId="0" xfId="0" applyFont="1" applyAlignment="1">
      <alignment horizontal="left"/>
    </xf>
    <xf numFmtId="0" fontId="12" fillId="5" borderId="12" xfId="0" applyFont="1" applyFill="1" applyBorder="1" applyAlignment="1">
      <alignment horizontal="right"/>
    </xf>
    <xf numFmtId="0" fontId="27" fillId="0" borderId="0" xfId="0" applyFont="1"/>
    <xf numFmtId="0" fontId="28" fillId="0" borderId="0" xfId="0" applyFont="1" applyAlignment="1">
      <alignment horizontal="right"/>
    </xf>
    <xf numFmtId="0" fontId="28" fillId="0" borderId="0" xfId="0" applyFont="1"/>
    <xf numFmtId="0" fontId="29" fillId="0" borderId="0" xfId="0" applyFont="1"/>
    <xf numFmtId="0" fontId="12" fillId="6" borderId="0" xfId="0" applyFont="1" applyFill="1"/>
    <xf numFmtId="15" fontId="5" fillId="0" borderId="0" xfId="2" applyNumberFormat="1" applyFont="1" applyAlignment="1">
      <alignment horizontal="center"/>
    </xf>
    <xf numFmtId="0" fontId="15" fillId="0" borderId="0" xfId="0" applyFont="1" applyAlignment="1">
      <alignment horizontal="left" indent="1"/>
    </xf>
    <xf numFmtId="0" fontId="5" fillId="0" borderId="0" xfId="0" applyFont="1" applyAlignment="1">
      <alignment horizontal="center"/>
    </xf>
    <xf numFmtId="0" fontId="30" fillId="0" borderId="0" xfId="0" applyFont="1" applyAlignment="1">
      <alignment horizontal="left" indent="1"/>
    </xf>
    <xf numFmtId="0" fontId="15" fillId="0" borderId="17" xfId="0" applyFont="1" applyBorder="1"/>
    <xf numFmtId="0" fontId="31" fillId="0" borderId="0" xfId="0" applyFont="1" applyAlignment="1">
      <alignment horizontal="center"/>
    </xf>
    <xf numFmtId="0" fontId="12" fillId="5" borderId="0" xfId="0" applyFont="1" applyFill="1"/>
    <xf numFmtId="1" fontId="12" fillId="5" borderId="0" xfId="0" applyNumberFormat="1" applyFont="1" applyFill="1"/>
    <xf numFmtId="0" fontId="9" fillId="0" borderId="0" xfId="0" applyFont="1" applyAlignment="1">
      <alignment horizontal="center"/>
    </xf>
    <xf numFmtId="1" fontId="17" fillId="5" borderId="0" xfId="0" applyNumberFormat="1" applyFont="1" applyFill="1"/>
    <xf numFmtId="0" fontId="32" fillId="0" borderId="0" xfId="0" applyFont="1"/>
    <xf numFmtId="10" fontId="10" fillId="0" borderId="0" xfId="0" applyNumberFormat="1" applyFont="1" applyAlignment="1">
      <alignment horizontal="center"/>
    </xf>
    <xf numFmtId="1" fontId="17" fillId="5" borderId="17" xfId="0" applyNumberFormat="1" applyFont="1" applyFill="1" applyBorder="1"/>
    <xf numFmtId="15" fontId="10" fillId="0" borderId="0" xfId="2" applyNumberFormat="1" applyFont="1" applyAlignment="1">
      <alignment horizontal="center"/>
    </xf>
    <xf numFmtId="164" fontId="10" fillId="0" borderId="0" xfId="0" applyNumberFormat="1" applyFont="1" applyAlignment="1">
      <alignment horizontal="center"/>
    </xf>
    <xf numFmtId="1" fontId="12" fillId="5" borderId="12" xfId="0" applyNumberFormat="1" applyFont="1" applyFill="1" applyBorder="1"/>
    <xf numFmtId="0" fontId="9" fillId="0" borderId="0" xfId="0" applyFont="1"/>
    <xf numFmtId="1" fontId="16" fillId="0" borderId="18" xfId="0" applyNumberFormat="1" applyFont="1" applyBorder="1"/>
    <xf numFmtId="1" fontId="20" fillId="0" borderId="19" xfId="0" applyNumberFormat="1" applyFont="1" applyBorder="1"/>
    <xf numFmtId="1" fontId="20" fillId="0" borderId="5" xfId="0" applyNumberFormat="1" applyFont="1" applyBorder="1"/>
    <xf numFmtId="0" fontId="33" fillId="0" borderId="0" xfId="0" applyFont="1"/>
    <xf numFmtId="0" fontId="34" fillId="0" borderId="0" xfId="0" applyFont="1"/>
    <xf numFmtId="0" fontId="35" fillId="0" borderId="0" xfId="0" applyFont="1" applyAlignment="1">
      <alignment horizontal="center" vertical="top"/>
    </xf>
    <xf numFmtId="0" fontId="5" fillId="0" borderId="0" xfId="0" applyFont="1" applyAlignment="1">
      <alignment vertical="top"/>
    </xf>
    <xf numFmtId="0" fontId="12" fillId="0" borderId="17" xfId="0" applyFont="1" applyBorder="1"/>
    <xf numFmtId="0" fontId="36" fillId="0" borderId="0" xfId="0" applyFont="1" applyAlignment="1">
      <alignment horizontal="center"/>
    </xf>
    <xf numFmtId="0" fontId="16" fillId="0" borderId="0" xfId="0" applyFont="1"/>
    <xf numFmtId="0" fontId="37" fillId="0" borderId="0" xfId="0" applyFont="1" applyAlignment="1">
      <alignment horizontal="center" vertical="top"/>
    </xf>
    <xf numFmtId="0" fontId="37" fillId="0" borderId="0" xfId="0" applyFont="1" applyAlignment="1">
      <alignment horizontal="center"/>
    </xf>
    <xf numFmtId="0" fontId="38" fillId="0" borderId="0" xfId="0" applyFont="1"/>
    <xf numFmtId="0" fontId="16" fillId="0" borderId="0" xfId="0" applyFont="1" applyAlignment="1">
      <alignment vertical="center"/>
    </xf>
    <xf numFmtId="1" fontId="31" fillId="0" borderId="0" xfId="0" applyNumberFormat="1" applyFont="1" applyAlignment="1">
      <alignment horizontal="left"/>
    </xf>
    <xf numFmtId="0" fontId="31" fillId="0" borderId="0" xfId="0" applyFont="1" applyAlignment="1">
      <alignment horizontal="left"/>
    </xf>
    <xf numFmtId="0" fontId="8" fillId="0" borderId="0" xfId="0" applyFont="1" applyAlignment="1">
      <alignment horizontal="right"/>
    </xf>
    <xf numFmtId="1" fontId="16" fillId="4" borderId="20" xfId="0" applyNumberFormat="1" applyFont="1" applyFill="1" applyBorder="1"/>
    <xf numFmtId="1" fontId="16" fillId="4" borderId="21" xfId="0" applyNumberFormat="1" applyFont="1" applyFill="1" applyBorder="1"/>
    <xf numFmtId="0" fontId="7" fillId="0" borderId="0" xfId="0" applyFont="1" applyAlignment="1">
      <alignment horizontal="right"/>
    </xf>
    <xf numFmtId="0" fontId="7" fillId="0" borderId="0" xfId="0" applyFont="1" applyAlignment="1">
      <alignment horizontal="center"/>
    </xf>
    <xf numFmtId="0" fontId="15" fillId="0" borderId="16" xfId="0" applyFont="1" applyBorder="1"/>
    <xf numFmtId="0" fontId="15" fillId="0" borderId="5" xfId="0" applyFont="1" applyBorder="1"/>
    <xf numFmtId="0" fontId="12" fillId="0" borderId="0" xfId="0" applyFont="1" applyAlignment="1">
      <alignment horizontal="left" indent="1"/>
    </xf>
    <xf numFmtId="9" fontId="12" fillId="0" borderId="0" xfId="0" applyNumberFormat="1" applyFont="1" applyAlignment="1">
      <alignment horizontal="center"/>
    </xf>
    <xf numFmtId="0" fontId="8" fillId="0" borderId="0" xfId="0" applyFont="1" applyAlignment="1">
      <alignment shrinkToFit="1"/>
    </xf>
    <xf numFmtId="0" fontId="19" fillId="0" borderId="0" xfId="0" applyFont="1" applyAlignment="1">
      <alignment horizontal="right"/>
    </xf>
    <xf numFmtId="9" fontId="15" fillId="0" borderId="0" xfId="0" applyNumberFormat="1" applyFont="1" applyAlignment="1">
      <alignment horizontal="center"/>
    </xf>
    <xf numFmtId="0" fontId="12" fillId="0" borderId="16" xfId="0" applyFont="1" applyBorder="1"/>
    <xf numFmtId="0" fontId="12" fillId="0" borderId="5" xfId="0" applyFont="1" applyBorder="1"/>
    <xf numFmtId="1" fontId="16" fillId="0" borderId="16" xfId="0" applyNumberFormat="1" applyFont="1" applyBorder="1" applyAlignment="1">
      <alignment horizontal="right"/>
    </xf>
    <xf numFmtId="1" fontId="16" fillId="0" borderId="5" xfId="0" applyNumberFormat="1" applyFont="1" applyBorder="1" applyAlignment="1">
      <alignment horizontal="right"/>
    </xf>
    <xf numFmtId="0" fontId="16" fillId="7" borderId="15" xfId="0" applyFont="1" applyFill="1" applyBorder="1"/>
    <xf numFmtId="0" fontId="12" fillId="0" borderId="12" xfId="0" applyFont="1" applyBorder="1" applyAlignment="1">
      <alignment horizontal="right"/>
    </xf>
    <xf numFmtId="1" fontId="12" fillId="0" borderId="16" xfId="0" applyNumberFormat="1" applyFont="1" applyBorder="1" applyAlignment="1">
      <alignment horizontal="right"/>
    </xf>
    <xf numFmtId="1" fontId="12" fillId="0" borderId="5" xfId="0" applyNumberFormat="1" applyFont="1" applyBorder="1" applyAlignment="1">
      <alignment horizontal="right"/>
    </xf>
    <xf numFmtId="9" fontId="9" fillId="0" borderId="0" xfId="0" applyNumberFormat="1" applyFont="1" applyAlignment="1">
      <alignment horizontal="center"/>
    </xf>
    <xf numFmtId="1" fontId="12" fillId="0" borderId="22" xfId="0" applyNumberFormat="1" applyFont="1" applyBorder="1" applyAlignment="1">
      <alignment horizontal="right"/>
    </xf>
    <xf numFmtId="1" fontId="12" fillId="0" borderId="18" xfId="0" applyNumberFormat="1" applyFont="1" applyBorder="1" applyAlignment="1">
      <alignment horizontal="right"/>
    </xf>
    <xf numFmtId="0" fontId="12" fillId="8" borderId="0" xfId="0" applyFont="1" applyFill="1" applyAlignment="1">
      <alignment horizontal="left"/>
    </xf>
    <xf numFmtId="0" fontId="15" fillId="8" borderId="0" xfId="0" applyFont="1" applyFill="1" applyAlignment="1">
      <alignment horizontal="center"/>
    </xf>
    <xf numFmtId="1" fontId="15" fillId="8" borderId="0" xfId="0" applyNumberFormat="1" applyFont="1" applyFill="1" applyAlignment="1">
      <alignment horizontal="left" indent="1"/>
    </xf>
    <xf numFmtId="1" fontId="12" fillId="8" borderId="0" xfId="0" applyNumberFormat="1" applyFont="1" applyFill="1"/>
    <xf numFmtId="0" fontId="36" fillId="0" borderId="0" xfId="0" applyFont="1" applyAlignment="1">
      <alignment horizontal="right"/>
    </xf>
    <xf numFmtId="0" fontId="31" fillId="0" borderId="0" xfId="0" applyFont="1"/>
    <xf numFmtId="0" fontId="39" fillId="0" borderId="0" xfId="0" applyFont="1" applyAlignment="1">
      <alignment horizontal="left"/>
    </xf>
    <xf numFmtId="0" fontId="35" fillId="0" borderId="0" xfId="0" applyFont="1" applyAlignment="1">
      <alignment horizontal="right"/>
    </xf>
    <xf numFmtId="1" fontId="40" fillId="0" borderId="16" xfId="0" applyNumberFormat="1" applyFont="1" applyBorder="1" applyAlignment="1">
      <alignment horizontal="right"/>
    </xf>
    <xf numFmtId="1" fontId="41" fillId="0" borderId="0" xfId="0" applyNumberFormat="1" applyFont="1"/>
    <xf numFmtId="0" fontId="37" fillId="0" borderId="4" xfId="0" applyFont="1" applyBorder="1" applyAlignment="1">
      <alignment horizontal="center"/>
    </xf>
    <xf numFmtId="1" fontId="12" fillId="0" borderId="22" xfId="0" applyNumberFormat="1" applyFont="1" applyBorder="1"/>
    <xf numFmtId="1" fontId="12" fillId="0" borderId="18" xfId="0" applyNumberFormat="1" applyFont="1" applyBorder="1"/>
    <xf numFmtId="1" fontId="42" fillId="0" borderId="0" xfId="0" applyNumberFormat="1" applyFont="1"/>
    <xf numFmtId="0" fontId="10" fillId="0" borderId="0" xfId="0" applyFont="1" applyAlignment="1">
      <alignment horizontal="right"/>
    </xf>
    <xf numFmtId="0" fontId="43" fillId="0" borderId="0" xfId="0" applyFont="1"/>
    <xf numFmtId="0" fontId="44" fillId="0" borderId="0" xfId="0" applyFont="1" applyAlignment="1">
      <alignment horizontal="left" shrinkToFit="1"/>
    </xf>
    <xf numFmtId="0" fontId="20" fillId="0" borderId="0" xfId="0" applyFont="1"/>
    <xf numFmtId="1" fontId="45" fillId="0" borderId="0" xfId="0" applyNumberFormat="1" applyFont="1" applyAlignment="1">
      <alignment horizontal="center"/>
    </xf>
    <xf numFmtId="0" fontId="46" fillId="0" borderId="0" xfId="0" applyFont="1" applyAlignment="1">
      <alignment horizontal="left" shrinkToFit="1"/>
    </xf>
    <xf numFmtId="0" fontId="15" fillId="0" borderId="0" xfId="0" applyFont="1" applyAlignment="1">
      <alignment horizontal="left" indent="11"/>
    </xf>
    <xf numFmtId="1" fontId="8" fillId="0" borderId="23" xfId="0" applyNumberFormat="1" applyFont="1" applyBorder="1" applyAlignment="1">
      <alignment shrinkToFit="1"/>
    </xf>
    <xf numFmtId="0" fontId="16" fillId="0" borderId="24" xfId="0" applyFont="1" applyBorder="1"/>
    <xf numFmtId="0" fontId="12" fillId="0" borderId="24" xfId="0" applyFont="1" applyBorder="1"/>
    <xf numFmtId="0" fontId="47" fillId="0" borderId="24" xfId="0" applyFont="1" applyBorder="1"/>
    <xf numFmtId="0" fontId="31" fillId="0" borderId="24" xfId="0" applyFont="1" applyBorder="1" applyAlignment="1">
      <alignment horizontal="left"/>
    </xf>
    <xf numFmtId="0" fontId="12" fillId="0" borderId="24" xfId="0" applyFont="1" applyBorder="1" applyAlignment="1">
      <alignment horizontal="center"/>
    </xf>
    <xf numFmtId="1" fontId="16" fillId="4" borderId="25" xfId="2" applyNumberFormat="1" applyFont="1" applyFill="1" applyBorder="1"/>
    <xf numFmtId="1" fontId="16" fillId="4" borderId="26" xfId="2" applyNumberFormat="1" applyFont="1" applyFill="1" applyBorder="1"/>
    <xf numFmtId="0" fontId="20" fillId="0" borderId="15" xfId="0" applyFont="1" applyBorder="1"/>
    <xf numFmtId="0" fontId="50" fillId="0" borderId="8" xfId="0" applyFont="1" applyBorder="1"/>
    <xf numFmtId="0" fontId="51" fillId="0" borderId="8" xfId="0" applyFont="1" applyBorder="1" applyAlignment="1">
      <alignment horizontal="center"/>
    </xf>
    <xf numFmtId="0" fontId="52" fillId="0" borderId="8" xfId="0" applyFont="1" applyBorder="1" applyAlignment="1">
      <alignment horizontal="center"/>
    </xf>
    <xf numFmtId="0" fontId="49" fillId="0" borderId="0" xfId="0" applyFont="1" applyAlignment="1">
      <alignment shrinkToFit="1"/>
    </xf>
    <xf numFmtId="0" fontId="49" fillId="0" borderId="0" xfId="0" applyFont="1"/>
    <xf numFmtId="0" fontId="10" fillId="0" borderId="0" xfId="0" applyFont="1"/>
    <xf numFmtId="0" fontId="49" fillId="0" borderId="0" xfId="0" applyFont="1" applyAlignment="1">
      <alignment horizontal="left" indent="1"/>
    </xf>
    <xf numFmtId="0" fontId="35" fillId="0" borderId="0" xfId="0" applyFont="1" applyAlignment="1">
      <alignment shrinkToFit="1"/>
    </xf>
    <xf numFmtId="0" fontId="35" fillId="0" borderId="0" xfId="0" applyFont="1"/>
    <xf numFmtId="0" fontId="35" fillId="0" borderId="0" xfId="0" applyFont="1" applyAlignment="1">
      <alignment horizontal="left" indent="1"/>
    </xf>
    <xf numFmtId="0" fontId="1" fillId="0" borderId="0" xfId="0" applyFont="1"/>
    <xf numFmtId="0" fontId="54" fillId="0" borderId="0" xfId="0" applyFont="1"/>
    <xf numFmtId="0" fontId="54" fillId="0" borderId="0" xfId="0" applyFont="1" applyAlignment="1">
      <alignment horizontal="left" indent="1"/>
    </xf>
    <xf numFmtId="0" fontId="15" fillId="0" borderId="0" xfId="0" applyFont="1" applyAlignment="1">
      <alignment horizontal="center"/>
    </xf>
    <xf numFmtId="0" fontId="1" fillId="0" borderId="0" xfId="2" applyAlignment="1">
      <alignment horizontal="left" indent="1"/>
    </xf>
    <xf numFmtId="9" fontId="1" fillId="0" borderId="0" xfId="1" applyFont="1" applyFill="1" applyBorder="1" applyAlignment="1">
      <alignment horizontal="center"/>
    </xf>
    <xf numFmtId="0" fontId="55" fillId="9" borderId="0" xfId="2" applyFont="1" applyFill="1"/>
    <xf numFmtId="0" fontId="56" fillId="9" borderId="0" xfId="2" applyFont="1" applyFill="1"/>
    <xf numFmtId="0" fontId="11" fillId="9" borderId="0" xfId="2" applyFont="1" applyFill="1"/>
    <xf numFmtId="1" fontId="16" fillId="9" borderId="0" xfId="2" applyNumberFormat="1" applyFont="1" applyFill="1"/>
    <xf numFmtId="0" fontId="57"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0" fontId="58" fillId="0" borderId="0" xfId="2" applyFont="1"/>
    <xf numFmtId="0" fontId="1" fillId="0" borderId="0" xfId="2"/>
    <xf numFmtId="0" fontId="5" fillId="0" borderId="0" xfId="2" applyFont="1"/>
    <xf numFmtId="2" fontId="59" fillId="0" borderId="0" xfId="2" applyNumberFormat="1" applyFont="1"/>
    <xf numFmtId="1" fontId="0" fillId="0" borderId="0" xfId="0" applyNumberFormat="1" applyAlignment="1">
      <alignment horizontal="left"/>
    </xf>
    <xf numFmtId="0" fontId="25" fillId="0" borderId="0" xfId="2" applyFont="1"/>
    <xf numFmtId="1" fontId="1" fillId="0" borderId="0" xfId="2" applyNumberFormat="1"/>
    <xf numFmtId="1" fontId="0" fillId="0" borderId="0" xfId="0" applyNumberFormat="1" applyAlignment="1">
      <alignment horizontal="center"/>
    </xf>
    <xf numFmtId="2" fontId="55" fillId="0" borderId="0" xfId="2" applyNumberFormat="1" applyFont="1" applyAlignment="1">
      <alignment horizontal="center"/>
    </xf>
    <xf numFmtId="0" fontId="12" fillId="0" borderId="15" xfId="0" applyFont="1" applyBorder="1"/>
    <xf numFmtId="1" fontId="1" fillId="0" borderId="15" xfId="2" applyNumberFormat="1" applyBorder="1"/>
    <xf numFmtId="1" fontId="9" fillId="0" borderId="0" xfId="2" applyNumberFormat="1" applyFont="1"/>
    <xf numFmtId="0" fontId="1" fillId="0" borderId="0" xfId="2" applyAlignment="1">
      <alignment horizontal="center"/>
    </xf>
    <xf numFmtId="0" fontId="25" fillId="0" borderId="0" xfId="2" applyFont="1" applyAlignment="1">
      <alignment horizontal="center" vertical="center"/>
    </xf>
    <xf numFmtId="0" fontId="1" fillId="0" borderId="0" xfId="2" applyAlignment="1">
      <alignment horizontal="center" vertical="center"/>
    </xf>
    <xf numFmtId="1" fontId="49" fillId="0" borderId="0" xfId="2" applyNumberFormat="1" applyFont="1" applyAlignment="1">
      <alignment horizontal="center" vertical="center" wrapText="1"/>
    </xf>
    <xf numFmtId="1" fontId="1" fillId="0" borderId="0" xfId="2" applyNumberFormat="1" applyAlignment="1">
      <alignment horizontal="center" vertical="center"/>
    </xf>
    <xf numFmtId="0" fontId="8" fillId="0" borderId="0" xfId="0" applyFont="1" applyAlignment="1">
      <alignment horizontal="center" shrinkToFit="1"/>
    </xf>
    <xf numFmtId="165" fontId="1" fillId="0" borderId="0" xfId="2" applyNumberFormat="1" applyAlignment="1">
      <alignment horizontal="center"/>
    </xf>
    <xf numFmtId="1" fontId="1" fillId="6" borderId="0" xfId="2" applyNumberFormat="1" applyFill="1"/>
    <xf numFmtId="1" fontId="1" fillId="0" borderId="0" xfId="2" applyNumberFormat="1" applyAlignment="1">
      <alignment horizontal="center"/>
    </xf>
    <xf numFmtId="0" fontId="60" fillId="0" borderId="0" xfId="0" applyFont="1" applyAlignment="1">
      <alignment horizontal="center"/>
    </xf>
    <xf numFmtId="0" fontId="60" fillId="0" borderId="0" xfId="0" applyFont="1"/>
    <xf numFmtId="1" fontId="60" fillId="0" borderId="0" xfId="0" applyNumberFormat="1" applyFont="1" applyAlignment="1">
      <alignment horizontal="center"/>
    </xf>
    <xf numFmtId="2" fontId="1" fillId="0" borderId="0" xfId="2" applyNumberFormat="1"/>
    <xf numFmtId="2" fontId="1" fillId="0" borderId="0" xfId="2" applyNumberFormat="1" applyAlignment="1">
      <alignment horizontal="center"/>
    </xf>
    <xf numFmtId="10" fontId="56" fillId="0" borderId="0" xfId="3" applyNumberFormat="1" applyFont="1" applyBorder="1" applyAlignment="1">
      <alignment horizontal="center"/>
    </xf>
    <xf numFmtId="1" fontId="56" fillId="0" borderId="15" xfId="2" applyNumberFormat="1" applyFont="1" applyBorder="1"/>
    <xf numFmtId="1" fontId="56" fillId="4" borderId="15" xfId="2" applyNumberFormat="1" applyFont="1" applyFill="1" applyBorder="1" applyAlignment="1">
      <alignment horizontal="center"/>
    </xf>
    <xf numFmtId="0" fontId="8" fillId="0" borderId="8" xfId="0" applyFont="1" applyBorder="1" applyAlignment="1">
      <alignment shrinkToFit="1"/>
    </xf>
    <xf numFmtId="0" fontId="1" fillId="0" borderId="8" xfId="2" applyBorder="1"/>
    <xf numFmtId="1" fontId="56" fillId="0" borderId="8" xfId="2" applyNumberFormat="1" applyFont="1" applyBorder="1"/>
    <xf numFmtId="2" fontId="56" fillId="0" borderId="0" xfId="2" applyNumberFormat="1" applyFont="1"/>
    <xf numFmtId="17" fontId="1" fillId="0" borderId="0" xfId="2" applyNumberFormat="1" applyAlignment="1">
      <alignment horizontal="center"/>
    </xf>
    <xf numFmtId="0" fontId="25" fillId="0" borderId="0" xfId="2" applyFont="1" applyAlignment="1">
      <alignment horizontal="left" indent="1"/>
    </xf>
    <xf numFmtId="9" fontId="5" fillId="0" borderId="0" xfId="2" applyNumberFormat="1" applyFont="1" applyAlignment="1">
      <alignment horizontal="center"/>
    </xf>
    <xf numFmtId="0" fontId="61" fillId="0" borderId="0" xfId="2" applyFont="1" applyAlignment="1">
      <alignment horizontal="left"/>
    </xf>
    <xf numFmtId="1" fontId="12" fillId="0" borderId="0" xfId="0" applyNumberFormat="1" applyFont="1" applyAlignment="1">
      <alignment horizontal="center"/>
    </xf>
    <xf numFmtId="165" fontId="24" fillId="6" borderId="0" xfId="2" applyNumberFormat="1" applyFont="1" applyFill="1" applyAlignment="1">
      <alignment horizontal="center"/>
    </xf>
    <xf numFmtId="1" fontId="61" fillId="0" borderId="0" xfId="2" applyNumberFormat="1" applyFont="1" applyAlignment="1">
      <alignment horizontal="left"/>
    </xf>
    <xf numFmtId="0" fontId="62" fillId="0" borderId="0" xfId="0" applyFont="1"/>
    <xf numFmtId="1" fontId="62" fillId="0" borderId="0" xfId="0" applyNumberFormat="1" applyFont="1" applyAlignment="1">
      <alignment horizontal="center"/>
    </xf>
    <xf numFmtId="1" fontId="9" fillId="0" borderId="0" xfId="0" applyNumberFormat="1" applyFont="1" applyAlignment="1">
      <alignment horizontal="center"/>
    </xf>
    <xf numFmtId="1" fontId="61" fillId="0" borderId="0" xfId="2" applyNumberFormat="1" applyFont="1" applyAlignment="1">
      <alignment horizontal="right"/>
    </xf>
    <xf numFmtId="1" fontId="1" fillId="0" borderId="0" xfId="2" applyNumberFormat="1" applyAlignment="1">
      <alignment horizontal="right"/>
    </xf>
    <xf numFmtId="2" fontId="56" fillId="0" borderId="0" xfId="2" applyNumberFormat="1" applyFont="1" applyAlignment="1">
      <alignment horizontal="center"/>
    </xf>
    <xf numFmtId="0" fontId="12" fillId="0" borderId="8" xfId="0" applyFont="1" applyBorder="1"/>
    <xf numFmtId="0" fontId="25" fillId="0" borderId="8" xfId="2" applyFont="1" applyBorder="1"/>
    <xf numFmtId="1" fontId="1" fillId="0" borderId="8" xfId="2" applyNumberFormat="1" applyBorder="1" applyAlignment="1">
      <alignment horizontal="right"/>
    </xf>
    <xf numFmtId="1" fontId="1" fillId="0" borderId="8" xfId="2" applyNumberFormat="1" applyBorder="1"/>
    <xf numFmtId="2" fontId="56" fillId="0" borderId="8" xfId="2" applyNumberFormat="1" applyFont="1" applyBorder="1" applyAlignment="1">
      <alignment horizontal="center"/>
    </xf>
    <xf numFmtId="14" fontId="1" fillId="0" borderId="0" xfId="2" applyNumberFormat="1" applyAlignment="1">
      <alignment horizontal="center"/>
    </xf>
    <xf numFmtId="0" fontId="63" fillId="0" borderId="0" xfId="0" applyFont="1" applyAlignment="1">
      <alignment horizontal="center"/>
    </xf>
    <xf numFmtId="0" fontId="63" fillId="0" borderId="0" xfId="0" applyFont="1"/>
    <xf numFmtId="1" fontId="63" fillId="0" borderId="0" xfId="0" applyNumberFormat="1" applyFont="1" applyAlignment="1">
      <alignment horizontal="center"/>
    </xf>
    <xf numFmtId="17" fontId="1" fillId="0" borderId="0" xfId="2" applyNumberFormat="1"/>
    <xf numFmtId="0" fontId="64" fillId="0" borderId="1" xfId="2" applyFont="1" applyBorder="1"/>
    <xf numFmtId="0" fontId="15" fillId="0" borderId="2" xfId="0" applyFont="1" applyBorder="1"/>
    <xf numFmtId="0" fontId="66" fillId="0" borderId="0" xfId="0" applyFont="1"/>
    <xf numFmtId="0" fontId="9" fillId="0" borderId="4" xfId="2" applyFont="1" applyBorder="1"/>
    <xf numFmtId="0" fontId="20" fillId="0" borderId="0" xfId="2" applyFont="1"/>
    <xf numFmtId="0" fontId="67" fillId="0" borderId="4" xfId="0" applyFont="1" applyBorder="1" applyAlignment="1">
      <alignment horizontal="center" vertical="center"/>
    </xf>
    <xf numFmtId="0" fontId="69" fillId="0" borderId="0" xfId="0" applyFont="1" applyAlignment="1">
      <alignment horizontal="left" vertical="top" wrapText="1"/>
    </xf>
    <xf numFmtId="0" fontId="17" fillId="0" borderId="0" xfId="2" applyFont="1" applyAlignment="1">
      <alignment horizontal="left" vertical="center"/>
    </xf>
    <xf numFmtId="0" fontId="15" fillId="0" borderId="4" xfId="0" applyFont="1" applyBorder="1" applyAlignment="1">
      <alignment shrinkToFit="1"/>
    </xf>
    <xf numFmtId="0" fontId="15" fillId="0" borderId="7" xfId="0" applyFont="1" applyBorder="1" applyAlignment="1">
      <alignment shrinkToFit="1"/>
    </xf>
    <xf numFmtId="0" fontId="15" fillId="0" borderId="9" xfId="0" applyFont="1" applyBorder="1"/>
    <xf numFmtId="0" fontId="15" fillId="0" borderId="0" xfId="0" applyFont="1" applyAlignment="1">
      <alignment shrinkToFit="1"/>
    </xf>
    <xf numFmtId="0" fontId="69" fillId="0" borderId="2" xfId="0" applyFont="1" applyBorder="1" applyAlignment="1">
      <alignment horizontal="left" vertical="top" wrapText="1"/>
    </xf>
    <xf numFmtId="0" fontId="12" fillId="0" borderId="0" xfId="2" applyFont="1"/>
    <xf numFmtId="0" fontId="73" fillId="0" borderId="0" xfId="2" applyFont="1"/>
    <xf numFmtId="0" fontId="12" fillId="0" borderId="0" xfId="2" applyFont="1" applyAlignment="1">
      <alignment horizontal="right"/>
    </xf>
    <xf numFmtId="0" fontId="15" fillId="0" borderId="0" xfId="2" applyFont="1"/>
    <xf numFmtId="0" fontId="8" fillId="0" borderId="0" xfId="2" applyFont="1"/>
    <xf numFmtId="0" fontId="8" fillId="0" borderId="7" xfId="0" applyFont="1" applyBorder="1" applyAlignment="1">
      <alignment shrinkToFit="1"/>
    </xf>
    <xf numFmtId="0" fontId="15" fillId="0" borderId="8" xfId="2" applyFont="1" applyBorder="1"/>
    <xf numFmtId="0" fontId="12" fillId="0" borderId="9" xfId="0" applyFont="1" applyBorder="1"/>
    <xf numFmtId="0" fontId="65" fillId="0" borderId="1" xfId="2" applyFont="1" applyBorder="1"/>
    <xf numFmtId="0" fontId="25" fillId="0" borderId="2" xfId="2" applyFont="1" applyBorder="1" applyAlignment="1">
      <alignment horizontal="center"/>
    </xf>
    <xf numFmtId="0" fontId="1" fillId="0" borderId="2" xfId="2" applyBorder="1" applyAlignment="1">
      <alignment horizontal="center"/>
    </xf>
    <xf numFmtId="0" fontId="37" fillId="0" borderId="2" xfId="2" applyFont="1" applyBorder="1"/>
    <xf numFmtId="0" fontId="12" fillId="0" borderId="2" xfId="0" applyFont="1" applyBorder="1"/>
    <xf numFmtId="0" fontId="12" fillId="0" borderId="3" xfId="0" applyFont="1" applyBorder="1"/>
    <xf numFmtId="0" fontId="12" fillId="0" borderId="4" xfId="2" applyFont="1" applyBorder="1" applyAlignment="1">
      <alignment horizontal="left" indent="1"/>
    </xf>
    <xf numFmtId="0" fontId="12" fillId="0" borderId="0" xfId="2" applyFont="1" applyAlignment="1">
      <alignment horizontal="left" indent="1"/>
    </xf>
    <xf numFmtId="0" fontId="1" fillId="0" borderId="0" xfId="2" applyAlignment="1">
      <alignment horizontal="right"/>
    </xf>
    <xf numFmtId="0" fontId="65" fillId="0" borderId="4" xfId="2" applyFont="1" applyBorder="1"/>
    <xf numFmtId="0" fontId="7" fillId="0" borderId="0" xfId="2" applyFont="1" applyAlignment="1">
      <alignment horizontal="left"/>
    </xf>
    <xf numFmtId="0" fontId="65" fillId="0" borderId="7" xfId="2" applyFont="1" applyBorder="1"/>
    <xf numFmtId="0" fontId="74" fillId="0" borderId="8" xfId="2" applyFont="1" applyBorder="1"/>
    <xf numFmtId="0" fontId="1" fillId="0" borderId="8" xfId="2" applyBorder="1" applyAlignment="1">
      <alignment horizontal="right"/>
    </xf>
    <xf numFmtId="0" fontId="16" fillId="0" borderId="0" xfId="2" applyFont="1"/>
    <xf numFmtId="0" fontId="72" fillId="0" borderId="2" xfId="0" applyFont="1" applyBorder="1" applyAlignment="1">
      <alignment horizontal="center"/>
    </xf>
    <xf numFmtId="0" fontId="72" fillId="0" borderId="3" xfId="0" applyFont="1" applyBorder="1" applyAlignment="1">
      <alignment horizontal="center"/>
    </xf>
    <xf numFmtId="0" fontId="69" fillId="0" borderId="0" xfId="0" applyFont="1" applyAlignment="1">
      <alignment horizontal="left" vertical="top" wrapText="1"/>
    </xf>
    <xf numFmtId="0" fontId="69" fillId="0" borderId="5" xfId="0" applyFont="1" applyBorder="1" applyAlignment="1">
      <alignment horizontal="left" vertical="top" wrapText="1"/>
    </xf>
    <xf numFmtId="0" fontId="70" fillId="0" borderId="0" xfId="0" applyFont="1" applyAlignment="1">
      <alignment horizontal="left" vertical="top" wrapText="1"/>
    </xf>
    <xf numFmtId="0" fontId="70" fillId="0" borderId="5" xfId="0" applyFont="1" applyBorder="1" applyAlignment="1">
      <alignment horizontal="left" vertical="top" wrapText="1"/>
    </xf>
    <xf numFmtId="0" fontId="69" fillId="0" borderId="8" xfId="0" applyFont="1" applyBorder="1" applyAlignment="1">
      <alignment horizontal="left" vertical="top" wrapText="1"/>
    </xf>
    <xf numFmtId="2" fontId="60" fillId="0" borderId="0" xfId="2" applyNumberFormat="1" applyFont="1" applyAlignment="1">
      <alignment horizontal="center"/>
    </xf>
    <xf numFmtId="2" fontId="9" fillId="0" borderId="0" xfId="2" applyNumberFormat="1" applyFont="1" applyAlignment="1">
      <alignment horizontal="center"/>
    </xf>
    <xf numFmtId="2" fontId="63" fillId="0" borderId="0" xfId="2" applyNumberFormat="1" applyFont="1" applyAlignment="1">
      <alignment horizontal="center"/>
    </xf>
    <xf numFmtId="0" fontId="65" fillId="0" borderId="2" xfId="0" applyFont="1" applyBorder="1" applyAlignment="1">
      <alignment horizontal="center"/>
    </xf>
    <xf numFmtId="0" fontId="65" fillId="0" borderId="3" xfId="0" applyFont="1" applyBorder="1" applyAlignment="1">
      <alignment horizontal="center"/>
    </xf>
    <xf numFmtId="0" fontId="4" fillId="0" borderId="0" xfId="0" applyFont="1" applyAlignment="1">
      <alignment horizontal="left" shrinkToFit="1"/>
    </xf>
    <xf numFmtId="0" fontId="44" fillId="0" borderId="0" xfId="0" applyFont="1" applyAlignment="1">
      <alignment horizontal="left" shrinkToFit="1"/>
    </xf>
    <xf numFmtId="0" fontId="48" fillId="0" borderId="1" xfId="0" applyFont="1" applyBorder="1" applyAlignment="1">
      <alignment horizontal="center"/>
    </xf>
    <xf numFmtId="0" fontId="48" fillId="0" borderId="2" xfId="0" applyFont="1" applyBorder="1" applyAlignment="1">
      <alignment horizontal="center"/>
    </xf>
    <xf numFmtId="0" fontId="48" fillId="0" borderId="3" xfId="0" applyFont="1" applyBorder="1" applyAlignment="1">
      <alignment horizontal="center"/>
    </xf>
    <xf numFmtId="14" fontId="49" fillId="0" borderId="7" xfId="0" applyNumberFormat="1" applyFont="1" applyBorder="1" applyAlignment="1">
      <alignment horizontal="center" shrinkToFit="1"/>
    </xf>
    <xf numFmtId="0" fontId="49" fillId="0" borderId="8" xfId="0" applyFont="1" applyBorder="1" applyAlignment="1">
      <alignment horizontal="center" shrinkToFit="1"/>
    </xf>
    <xf numFmtId="0" fontId="53" fillId="0" borderId="8" xfId="0" applyFont="1" applyBorder="1" applyAlignment="1">
      <alignment horizontal="center"/>
    </xf>
    <xf numFmtId="0" fontId="53" fillId="0" borderId="9" xfId="0" applyFont="1" applyBorder="1" applyAlignment="1">
      <alignment horizontal="center"/>
    </xf>
    <xf numFmtId="0" fontId="2" fillId="0" borderId="1" xfId="2" applyFont="1" applyBorder="1" applyAlignment="1">
      <alignment horizontal="center" shrinkToFit="1"/>
    </xf>
    <xf numFmtId="0" fontId="2" fillId="0" borderId="2" xfId="2" applyFont="1" applyBorder="1" applyAlignment="1">
      <alignment horizontal="center" shrinkToFit="1"/>
    </xf>
    <xf numFmtId="0" fontId="3" fillId="0" borderId="2" xfId="2" applyFont="1" applyBorder="1" applyAlignment="1">
      <alignment horizontal="center"/>
    </xf>
    <xf numFmtId="0" fontId="4" fillId="0" borderId="4" xfId="0" applyFont="1" applyBorder="1" applyAlignment="1">
      <alignment horizontal="center"/>
    </xf>
    <xf numFmtId="0" fontId="4" fillId="0" borderId="0" xfId="0" applyFont="1" applyAlignment="1">
      <alignment horizontal="center"/>
    </xf>
    <xf numFmtId="0" fontId="4" fillId="0" borderId="5" xfId="0" applyFont="1" applyBorder="1" applyAlignment="1">
      <alignment horizontal="center"/>
    </xf>
    <xf numFmtId="0" fontId="6" fillId="0" borderId="7" xfId="2" applyFont="1" applyBorder="1" applyAlignment="1">
      <alignment horizontal="center" shrinkToFit="1"/>
    </xf>
    <xf numFmtId="0" fontId="6" fillId="0" borderId="8" xfId="2" applyFont="1" applyBorder="1" applyAlignment="1">
      <alignment horizontal="center" shrinkToFit="1"/>
    </xf>
    <xf numFmtId="0" fontId="9" fillId="0" borderId="8" xfId="0" applyFont="1" applyBorder="1" applyAlignment="1">
      <alignment horizontal="center"/>
    </xf>
  </cellXfs>
  <cellStyles count="4">
    <cellStyle name="Normal" xfId="0" builtinId="0"/>
    <cellStyle name="Normal 2 2" xfId="2" xr:uid="{9FA5A9CD-F1A2-4F2C-BF37-21F394C77C58}"/>
    <cellStyle name="Percent" xfId="1" builtinId="5"/>
    <cellStyle name="Percent 2" xfId="3" xr:uid="{D3B05D97-BBF6-46C3-9BFB-8DD414425577}"/>
  </cellStyles>
  <dxfs count="1">
    <dxf>
      <font>
        <condense val="0"/>
        <extend val="0"/>
        <color indexed="12"/>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B3F17-2CC2-4099-AEC9-3C22DA07C6F7}">
  <sheetPr>
    <pageSetUpPr fitToPage="1"/>
  </sheetPr>
  <dimension ref="A1:N151"/>
  <sheetViews>
    <sheetView showZeros="0" tabSelected="1" topLeftCell="A59" zoomScale="120" workbookViewId="0">
      <selection activeCell="J64" sqref="J64"/>
    </sheetView>
  </sheetViews>
  <sheetFormatPr defaultColWidth="9.109375" defaultRowHeight="15" customHeight="1" x14ac:dyDescent="0.25"/>
  <cols>
    <col min="1" max="1" width="4" style="103" customWidth="1"/>
    <col min="2" max="2" width="9.6640625" style="9" customWidth="1"/>
    <col min="3" max="3" width="10.6640625" style="9" customWidth="1"/>
    <col min="4" max="4" width="12.6640625" style="9" customWidth="1"/>
    <col min="5" max="5" width="15.88671875" style="9" customWidth="1"/>
    <col min="6" max="6" width="10.44140625" style="9" customWidth="1"/>
    <col min="7" max="7" width="10.6640625" style="9" customWidth="1"/>
    <col min="8" max="8" width="12.6640625" style="9" customWidth="1"/>
    <col min="9" max="9" width="3.44140625" style="9" customWidth="1"/>
    <col min="10" max="10" width="7.21875" style="9" customWidth="1"/>
    <col min="11" max="11" width="29.88671875" style="9" customWidth="1"/>
    <col min="12" max="12" width="10" style="9" customWidth="1"/>
    <col min="13" max="13" width="10.5546875" style="9" customWidth="1"/>
    <col min="14" max="14" width="10.6640625" style="9" customWidth="1"/>
    <col min="15" max="16384" width="9.109375" style="9"/>
  </cols>
  <sheetData>
    <row r="1" spans="1:14" s="3" customFormat="1" ht="14.25" customHeight="1" x14ac:dyDescent="0.3">
      <c r="A1" s="283" t="s">
        <v>0</v>
      </c>
      <c r="B1" s="284"/>
      <c r="C1" s="284"/>
      <c r="D1" s="285" t="s">
        <v>1</v>
      </c>
      <c r="E1" s="285"/>
      <c r="F1" s="285"/>
      <c r="G1" s="285"/>
      <c r="H1" s="285"/>
      <c r="I1" s="1"/>
      <c r="J1" s="286" t="s">
        <v>2</v>
      </c>
      <c r="K1" s="287"/>
      <c r="L1" s="287"/>
      <c r="M1" s="288"/>
      <c r="N1" s="2" t="s">
        <v>3</v>
      </c>
    </row>
    <row r="2" spans="1:14" ht="15" customHeight="1" thickBot="1" x14ac:dyDescent="0.3">
      <c r="A2" s="289" t="s">
        <v>4</v>
      </c>
      <c r="B2" s="290"/>
      <c r="C2" s="290"/>
      <c r="D2" s="4" t="s">
        <v>5</v>
      </c>
      <c r="E2" s="5" t="s">
        <v>6</v>
      </c>
      <c r="F2" s="291" t="s">
        <v>7</v>
      </c>
      <c r="G2" s="291"/>
      <c r="H2" s="6">
        <v>23696</v>
      </c>
      <c r="I2" s="7">
        <f>IF(H2&lt;22008,"Sr",0)</f>
        <v>0</v>
      </c>
      <c r="J2" s="8"/>
      <c r="M2" s="8" t="s">
        <v>8</v>
      </c>
      <c r="N2" s="10">
        <v>44767</v>
      </c>
    </row>
    <row r="3" spans="1:14" ht="15" customHeight="1" x14ac:dyDescent="0.25">
      <c r="A3" s="11"/>
      <c r="B3" s="12" t="s">
        <v>9</v>
      </c>
      <c r="G3" s="13"/>
      <c r="H3" s="14" t="s">
        <v>10</v>
      </c>
      <c r="I3" s="15"/>
      <c r="J3" s="16"/>
      <c r="K3" s="17" t="s">
        <v>11</v>
      </c>
      <c r="L3" s="9">
        <v>4100000</v>
      </c>
      <c r="N3" s="18" t="s">
        <v>12</v>
      </c>
    </row>
    <row r="4" spans="1:14" ht="15" customHeight="1" x14ac:dyDescent="0.25">
      <c r="A4" s="19"/>
      <c r="B4" s="16" t="s">
        <v>13</v>
      </c>
      <c r="C4" s="20" t="s">
        <v>14</v>
      </c>
      <c r="G4" s="21">
        <f>+L8</f>
        <v>4227600</v>
      </c>
      <c r="H4" s="22"/>
      <c r="I4" s="23"/>
      <c r="J4" s="16"/>
      <c r="K4" s="9" t="s">
        <v>15</v>
      </c>
      <c r="L4" s="9">
        <v>36000</v>
      </c>
      <c r="N4" s="24">
        <v>44773</v>
      </c>
    </row>
    <row r="5" spans="1:14" ht="15" customHeight="1" x14ac:dyDescent="0.25">
      <c r="A5" s="19"/>
      <c r="B5" s="16" t="s">
        <v>16</v>
      </c>
      <c r="C5" s="20" t="s">
        <v>17</v>
      </c>
      <c r="G5" s="21">
        <f>+L9+L10</f>
        <v>42000</v>
      </c>
      <c r="H5" s="22"/>
      <c r="I5" s="23"/>
      <c r="J5" s="25" t="s">
        <v>18</v>
      </c>
      <c r="K5" s="9" t="s">
        <v>19</v>
      </c>
      <c r="L5" s="9">
        <v>3600</v>
      </c>
      <c r="M5" s="9">
        <v>3600</v>
      </c>
      <c r="N5" s="26" t="s">
        <v>20</v>
      </c>
    </row>
    <row r="6" spans="1:14" ht="15" customHeight="1" thickBot="1" x14ac:dyDescent="0.3">
      <c r="A6" s="19"/>
      <c r="B6" s="16" t="s">
        <v>21</v>
      </c>
      <c r="C6" s="20" t="s">
        <v>22</v>
      </c>
      <c r="G6" s="27"/>
      <c r="H6" s="22"/>
      <c r="I6" s="23"/>
      <c r="J6" s="25"/>
      <c r="K6" s="9" t="s">
        <v>23</v>
      </c>
      <c r="L6" s="9">
        <v>40000</v>
      </c>
      <c r="M6" s="28"/>
      <c r="N6" s="29">
        <v>44896</v>
      </c>
    </row>
    <row r="7" spans="1:14" ht="15" customHeight="1" x14ac:dyDescent="0.25">
      <c r="A7" s="19"/>
      <c r="B7" s="12"/>
      <c r="C7" s="20"/>
      <c r="F7" s="30" t="s">
        <v>24</v>
      </c>
      <c r="G7" s="31">
        <f>G4+G5+G6</f>
        <v>4269600</v>
      </c>
      <c r="H7" s="22"/>
      <c r="I7" s="23"/>
      <c r="J7" s="25" t="s">
        <v>25</v>
      </c>
      <c r="K7" s="9" t="s">
        <v>26</v>
      </c>
      <c r="L7" s="9">
        <v>48000</v>
      </c>
      <c r="M7" s="9">
        <v>40000</v>
      </c>
      <c r="N7" s="32" t="s">
        <v>27</v>
      </c>
    </row>
    <row r="8" spans="1:14" ht="15" customHeight="1" thickBot="1" x14ac:dyDescent="0.3">
      <c r="A8" s="19"/>
      <c r="B8" s="33" t="s">
        <v>28</v>
      </c>
      <c r="C8" s="20" t="s">
        <v>29</v>
      </c>
      <c r="G8" s="27">
        <f>M8+M9</f>
        <v>55600</v>
      </c>
      <c r="H8" s="22"/>
      <c r="I8" s="23"/>
      <c r="J8" s="16"/>
      <c r="L8" s="34">
        <f>SUM(L3:L7)</f>
        <v>4227600</v>
      </c>
      <c r="M8" s="34">
        <f>SUM(M2:M7)</f>
        <v>43600</v>
      </c>
      <c r="N8" s="35" t="s">
        <v>30</v>
      </c>
    </row>
    <row r="9" spans="1:14" ht="15" customHeight="1" thickTop="1" thickBot="1" x14ac:dyDescent="0.3">
      <c r="A9" s="19"/>
      <c r="B9" s="12"/>
      <c r="F9" s="30" t="s">
        <v>31</v>
      </c>
      <c r="G9" s="36">
        <f>G7-G8</f>
        <v>4214000</v>
      </c>
      <c r="H9" s="22"/>
      <c r="I9" s="23"/>
      <c r="J9" s="25" t="s">
        <v>32</v>
      </c>
      <c r="K9" s="17" t="s">
        <v>33</v>
      </c>
      <c r="L9" s="9">
        <v>12000</v>
      </c>
      <c r="M9" s="9">
        <v>12000</v>
      </c>
      <c r="N9" s="37">
        <v>5000</v>
      </c>
    </row>
    <row r="10" spans="1:14" ht="15" customHeight="1" x14ac:dyDescent="0.25">
      <c r="A10" s="19"/>
      <c r="B10" s="16" t="s">
        <v>34</v>
      </c>
      <c r="C10" s="38" t="s">
        <v>35</v>
      </c>
      <c r="G10" s="27">
        <v>50000</v>
      </c>
      <c r="H10" s="22">
        <f>G9-G10</f>
        <v>4164000</v>
      </c>
      <c r="I10" s="23"/>
      <c r="J10" s="8"/>
      <c r="K10" s="9" t="s">
        <v>36</v>
      </c>
      <c r="L10" s="9">
        <v>30000</v>
      </c>
    </row>
    <row r="11" spans="1:14" ht="21" customHeight="1" x14ac:dyDescent="0.25">
      <c r="A11" s="19"/>
      <c r="B11" s="12" t="s">
        <v>37</v>
      </c>
      <c r="E11" s="39"/>
      <c r="G11" s="13"/>
      <c r="H11" s="22"/>
      <c r="I11" s="23"/>
      <c r="K11" s="40" t="s">
        <v>38</v>
      </c>
      <c r="L11" s="41"/>
    </row>
    <row r="12" spans="1:14" ht="15" customHeight="1" x14ac:dyDescent="0.25">
      <c r="A12" s="19"/>
      <c r="B12" s="42" t="s">
        <v>39</v>
      </c>
      <c r="C12" s="43" t="s">
        <v>40</v>
      </c>
      <c r="D12" s="20"/>
      <c r="E12" s="44" t="s">
        <v>41</v>
      </c>
      <c r="F12" s="8"/>
      <c r="G12" s="45">
        <f>L12*10/9</f>
        <v>2000000</v>
      </c>
      <c r="H12" s="46"/>
      <c r="I12" s="23"/>
      <c r="J12" s="8"/>
      <c r="K12" s="41" t="s">
        <v>42</v>
      </c>
      <c r="L12" s="41">
        <v>1800000</v>
      </c>
    </row>
    <row r="13" spans="1:14" ht="15" customHeight="1" x14ac:dyDescent="0.25">
      <c r="A13" s="19"/>
      <c r="C13" s="47" t="s">
        <v>43</v>
      </c>
      <c r="D13" s="20"/>
      <c r="E13" s="44" t="str">
        <f>+K14</f>
        <v>Paid by Assessee</v>
      </c>
      <c r="F13" s="8"/>
      <c r="G13" s="48">
        <f>+L14</f>
        <v>27000</v>
      </c>
      <c r="H13" s="46"/>
      <c r="I13" s="23"/>
      <c r="J13" s="8"/>
      <c r="K13" s="41" t="s">
        <v>44</v>
      </c>
      <c r="L13" s="41"/>
    </row>
    <row r="14" spans="1:14" ht="15" customHeight="1" x14ac:dyDescent="0.25">
      <c r="A14" s="19"/>
      <c r="C14" s="43"/>
      <c r="D14" s="20"/>
      <c r="F14" s="8"/>
      <c r="G14" s="49">
        <f>G12-G13</f>
        <v>1973000</v>
      </c>
      <c r="H14" s="46"/>
      <c r="I14" s="23"/>
      <c r="K14" s="50" t="s">
        <v>45</v>
      </c>
      <c r="L14" s="41">
        <v>27000</v>
      </c>
    </row>
    <row r="15" spans="1:14" ht="15" customHeight="1" x14ac:dyDescent="0.25">
      <c r="A15" s="19"/>
      <c r="B15" s="25" t="s">
        <v>46</v>
      </c>
      <c r="C15" s="38" t="s">
        <v>47</v>
      </c>
      <c r="D15" s="20"/>
      <c r="E15" s="38" t="s">
        <v>48</v>
      </c>
      <c r="F15" s="45">
        <f>G14*0.3</f>
        <v>591900</v>
      </c>
      <c r="H15" s="46"/>
      <c r="I15" s="23"/>
      <c r="K15" s="50" t="s">
        <v>49</v>
      </c>
      <c r="L15" s="41">
        <v>25000</v>
      </c>
    </row>
    <row r="16" spans="1:14" ht="15" customHeight="1" x14ac:dyDescent="0.25">
      <c r="A16" s="19"/>
      <c r="B16" s="16"/>
      <c r="C16" s="38"/>
      <c r="E16" s="38" t="s">
        <v>50</v>
      </c>
      <c r="F16" s="51">
        <f>+L17</f>
        <v>70000</v>
      </c>
      <c r="G16" s="52">
        <f>F15+F16</f>
        <v>661900</v>
      </c>
      <c r="H16" s="46">
        <f>G14-G16</f>
        <v>1311100</v>
      </c>
      <c r="I16" s="23"/>
      <c r="K16" s="50" t="s">
        <v>51</v>
      </c>
      <c r="L16" s="41">
        <v>42000</v>
      </c>
    </row>
    <row r="17" spans="1:13" ht="15" customHeight="1" x14ac:dyDescent="0.25">
      <c r="A17" s="19"/>
      <c r="B17" s="16"/>
      <c r="C17" s="16"/>
      <c r="D17" s="16"/>
      <c r="E17" s="16"/>
      <c r="F17" s="16"/>
      <c r="G17" s="16"/>
      <c r="H17" s="46"/>
      <c r="I17" s="23"/>
      <c r="K17" s="41" t="s">
        <v>52</v>
      </c>
      <c r="L17" s="41">
        <v>70000</v>
      </c>
    </row>
    <row r="18" spans="1:13" ht="15" customHeight="1" x14ac:dyDescent="0.25">
      <c r="A18" s="19"/>
      <c r="B18" s="42" t="s">
        <v>53</v>
      </c>
      <c r="C18" s="43" t="s">
        <v>54</v>
      </c>
      <c r="D18" s="20"/>
      <c r="E18" s="53"/>
      <c r="F18" s="8"/>
      <c r="G18" s="45" t="s">
        <v>55</v>
      </c>
      <c r="H18" s="46"/>
      <c r="I18" s="23"/>
      <c r="K18" s="40" t="s">
        <v>56</v>
      </c>
    </row>
    <row r="19" spans="1:13" ht="15" customHeight="1" x14ac:dyDescent="0.25">
      <c r="A19" s="19"/>
      <c r="C19" s="47" t="s">
        <v>43</v>
      </c>
      <c r="D19" s="20"/>
      <c r="E19" s="54"/>
      <c r="F19" s="8"/>
      <c r="G19" s="55" t="s">
        <v>55</v>
      </c>
      <c r="H19" s="46"/>
      <c r="I19" s="23"/>
      <c r="J19" s="25"/>
      <c r="K19" s="56" t="s">
        <v>57</v>
      </c>
      <c r="M19" s="57">
        <v>47500</v>
      </c>
    </row>
    <row r="20" spans="1:13" ht="15" customHeight="1" x14ac:dyDescent="0.25">
      <c r="A20" s="19"/>
      <c r="C20" s="43"/>
      <c r="D20" s="20"/>
      <c r="F20" s="8"/>
      <c r="G20" s="49" t="s">
        <v>58</v>
      </c>
      <c r="H20" s="46"/>
      <c r="I20" s="23"/>
      <c r="J20" s="16"/>
      <c r="K20" s="56" t="s">
        <v>59</v>
      </c>
      <c r="M20" s="57">
        <v>9000</v>
      </c>
    </row>
    <row r="21" spans="1:13" ht="15" customHeight="1" x14ac:dyDescent="0.25">
      <c r="A21" s="19"/>
      <c r="B21" s="25" t="s">
        <v>46</v>
      </c>
      <c r="C21" s="38" t="s">
        <v>47</v>
      </c>
      <c r="D21" s="20"/>
      <c r="E21" s="38" t="s">
        <v>48</v>
      </c>
      <c r="F21" s="45"/>
      <c r="H21" s="46"/>
      <c r="I21" s="23"/>
      <c r="J21" s="16"/>
      <c r="K21" s="58" t="s">
        <v>60</v>
      </c>
      <c r="M21" s="57">
        <v>50000</v>
      </c>
    </row>
    <row r="22" spans="1:13" ht="15" customHeight="1" x14ac:dyDescent="0.25">
      <c r="A22" s="19"/>
      <c r="B22" s="16"/>
      <c r="C22" s="38"/>
      <c r="E22" s="38" t="s">
        <v>50</v>
      </c>
      <c r="F22" s="51">
        <v>50000</v>
      </c>
      <c r="G22" s="52">
        <f>F21+F22</f>
        <v>50000</v>
      </c>
      <c r="H22" s="46">
        <f>0-50000</f>
        <v>-50000</v>
      </c>
      <c r="I22" s="23"/>
      <c r="J22" s="16"/>
      <c r="K22" s="58" t="s">
        <v>61</v>
      </c>
      <c r="M22" s="57">
        <v>8000</v>
      </c>
    </row>
    <row r="23" spans="1:13" ht="15" customHeight="1" x14ac:dyDescent="0.25">
      <c r="A23" s="19"/>
      <c r="B23" s="12" t="s">
        <v>62</v>
      </c>
      <c r="H23" s="46"/>
      <c r="I23" s="23"/>
      <c r="J23" s="59">
        <v>317</v>
      </c>
      <c r="K23" s="60" t="s">
        <v>63</v>
      </c>
      <c r="L23" s="60"/>
      <c r="M23" s="60">
        <v>900000</v>
      </c>
    </row>
    <row r="24" spans="1:13" ht="15" customHeight="1" x14ac:dyDescent="0.25">
      <c r="A24" s="19"/>
      <c r="C24" s="38" t="s">
        <v>64</v>
      </c>
      <c r="H24" s="46"/>
      <c r="I24" s="23"/>
      <c r="J24" s="59"/>
      <c r="K24" s="60" t="s">
        <v>65</v>
      </c>
      <c r="L24" s="60"/>
      <c r="M24" s="60">
        <v>10000</v>
      </c>
    </row>
    <row r="25" spans="1:13" ht="15" customHeight="1" x14ac:dyDescent="0.25">
      <c r="A25" s="19"/>
      <c r="C25" s="38" t="s">
        <v>66</v>
      </c>
      <c r="H25" s="46"/>
      <c r="I25" s="23"/>
      <c r="J25" s="59">
        <v>100</v>
      </c>
      <c r="K25" s="60" t="s">
        <v>67</v>
      </c>
      <c r="L25" s="60"/>
      <c r="M25" s="60">
        <v>72000</v>
      </c>
    </row>
    <row r="26" spans="1:13" ht="15" customHeight="1" x14ac:dyDescent="0.25">
      <c r="A26" s="19"/>
      <c r="B26" s="61">
        <v>44247</v>
      </c>
      <c r="C26" s="62" t="s">
        <v>68</v>
      </c>
      <c r="G26" s="38">
        <f>+M23</f>
        <v>900000</v>
      </c>
      <c r="H26" s="46"/>
      <c r="I26" s="23"/>
      <c r="J26" s="16"/>
      <c r="K26" s="60" t="s">
        <v>69</v>
      </c>
      <c r="L26" s="60"/>
      <c r="M26" s="60">
        <v>45000</v>
      </c>
    </row>
    <row r="27" spans="1:13" ht="15" customHeight="1" x14ac:dyDescent="0.25">
      <c r="A27" s="19"/>
      <c r="B27" s="63" t="s">
        <v>70</v>
      </c>
      <c r="C27" s="64" t="s">
        <v>71</v>
      </c>
      <c r="E27" s="38" t="s">
        <v>72</v>
      </c>
      <c r="G27" s="65">
        <f>ROUND(72000*317/100,0)</f>
        <v>228240</v>
      </c>
      <c r="H27" s="46">
        <f>G26-G27</f>
        <v>671760</v>
      </c>
      <c r="I27" s="23"/>
    </row>
    <row r="28" spans="1:13" ht="15" customHeight="1" x14ac:dyDescent="0.25">
      <c r="A28" s="19"/>
      <c r="B28" s="12" t="s">
        <v>73</v>
      </c>
      <c r="H28" s="46"/>
      <c r="I28" s="23"/>
    </row>
    <row r="29" spans="1:13" ht="15" customHeight="1" x14ac:dyDescent="0.25">
      <c r="A29" s="19"/>
      <c r="B29" s="66"/>
      <c r="C29" s="43" t="s">
        <v>74</v>
      </c>
      <c r="D29" s="16"/>
      <c r="E29" s="16"/>
      <c r="F29" s="38"/>
      <c r="G29" s="67">
        <f>+L29</f>
        <v>26000</v>
      </c>
      <c r="H29" s="46"/>
      <c r="I29" s="23"/>
      <c r="K29" s="9" t="s">
        <v>74</v>
      </c>
      <c r="L29" s="9">
        <v>26000</v>
      </c>
    </row>
    <row r="30" spans="1:13" ht="15" customHeight="1" x14ac:dyDescent="0.25">
      <c r="A30" s="19"/>
      <c r="B30" s="66"/>
      <c r="C30" s="9" t="str">
        <f>+K34</f>
        <v>Intt on Income Tax Refund 01-12-21</v>
      </c>
      <c r="G30" s="68">
        <f>+L34</f>
        <v>3710</v>
      </c>
      <c r="H30" s="46"/>
      <c r="I30" s="23"/>
      <c r="K30" s="38" t="s">
        <v>75</v>
      </c>
      <c r="L30" s="9">
        <v>26000</v>
      </c>
      <c r="M30" s="69"/>
    </row>
    <row r="31" spans="1:13" ht="15" customHeight="1" x14ac:dyDescent="0.25">
      <c r="A31" s="19"/>
      <c r="B31" s="66"/>
      <c r="C31" s="38" t="s">
        <v>76</v>
      </c>
      <c r="D31" s="16"/>
      <c r="E31" s="16"/>
      <c r="F31" s="70">
        <f>+F42</f>
        <v>5530</v>
      </c>
      <c r="H31" s="46"/>
      <c r="I31" s="23"/>
      <c r="K31" s="71" t="str">
        <f>+K41</f>
        <v>Investment in NSCs (08-01-21)</v>
      </c>
      <c r="L31" s="9">
        <f>+L41</f>
        <v>70000</v>
      </c>
      <c r="M31" s="72"/>
    </row>
    <row r="32" spans="1:13" ht="15" customHeight="1" x14ac:dyDescent="0.25">
      <c r="A32" s="19"/>
      <c r="C32" s="38" t="s">
        <v>77</v>
      </c>
      <c r="D32" s="16"/>
      <c r="E32" s="16"/>
      <c r="F32" s="73">
        <f>+L30</f>
        <v>26000</v>
      </c>
      <c r="G32" s="17">
        <f>F31+F32</f>
        <v>31530</v>
      </c>
      <c r="H32" s="46"/>
      <c r="I32" s="23"/>
      <c r="K32" s="9" t="s">
        <v>78</v>
      </c>
      <c r="L32" s="9">
        <v>80000</v>
      </c>
      <c r="M32" s="69"/>
    </row>
    <row r="33" spans="1:14" ht="15" customHeight="1" x14ac:dyDescent="0.25">
      <c r="A33" s="19"/>
      <c r="B33" s="74">
        <v>44362</v>
      </c>
      <c r="C33" s="38" t="str">
        <f>+K33</f>
        <v xml:space="preserve">Dividend on Pref Shares </v>
      </c>
      <c r="G33" s="68">
        <f>+L33</f>
        <v>1250</v>
      </c>
      <c r="H33" s="46"/>
      <c r="I33" s="23"/>
      <c r="K33" s="9" t="s">
        <v>79</v>
      </c>
      <c r="L33" s="9">
        <v>1250</v>
      </c>
      <c r="M33" s="72" t="s">
        <v>80</v>
      </c>
      <c r="N33" s="75">
        <f>+B33</f>
        <v>44362</v>
      </c>
    </row>
    <row r="34" spans="1:14" ht="15" customHeight="1" x14ac:dyDescent="0.25">
      <c r="A34" s="19"/>
      <c r="C34" s="38" t="s">
        <v>81</v>
      </c>
      <c r="G34" s="76">
        <f>+L32</f>
        <v>80000</v>
      </c>
      <c r="H34" s="46"/>
      <c r="I34" s="23"/>
      <c r="K34" s="9" t="s">
        <v>82</v>
      </c>
      <c r="L34" s="9">
        <v>3710</v>
      </c>
    </row>
    <row r="35" spans="1:14" ht="15" customHeight="1" x14ac:dyDescent="0.25">
      <c r="A35" s="19"/>
      <c r="B35" s="66"/>
      <c r="H35" s="46">
        <f>SUM(G29:G34)</f>
        <v>142490</v>
      </c>
      <c r="I35" s="23"/>
      <c r="K35" s="77" t="s">
        <v>83</v>
      </c>
      <c r="L35" s="77">
        <v>80000</v>
      </c>
    </row>
    <row r="36" spans="1:14" ht="15" customHeight="1" x14ac:dyDescent="0.25">
      <c r="A36" s="19"/>
      <c r="B36" s="66"/>
      <c r="H36" s="46"/>
      <c r="I36" s="78"/>
    </row>
    <row r="37" spans="1:14" ht="15" customHeight="1" x14ac:dyDescent="0.25">
      <c r="A37" s="19"/>
      <c r="B37" s="12" t="s">
        <v>84</v>
      </c>
      <c r="E37" s="8"/>
      <c r="F37" s="8"/>
      <c r="G37" s="22"/>
      <c r="H37" s="79">
        <f>SUM(H4:H36)</f>
        <v>6239350</v>
      </c>
      <c r="I37" s="80"/>
    </row>
    <row r="38" spans="1:14" ht="15" customHeight="1" x14ac:dyDescent="0.25">
      <c r="A38" s="19"/>
      <c r="B38" s="81" t="s">
        <v>85</v>
      </c>
      <c r="H38" s="46"/>
      <c r="I38" s="23"/>
      <c r="K38" s="71" t="s">
        <v>86</v>
      </c>
      <c r="L38" s="71">
        <v>80000</v>
      </c>
    </row>
    <row r="39" spans="1:14" ht="15" customHeight="1" x14ac:dyDescent="0.25">
      <c r="A39" s="19"/>
      <c r="B39" s="82"/>
      <c r="C39" s="39" t="s">
        <v>87</v>
      </c>
      <c r="D39" s="9" t="str">
        <f>+K38</f>
        <v>Recognised Prov Fund</v>
      </c>
      <c r="F39" s="9">
        <f>+L38</f>
        <v>80000</v>
      </c>
      <c r="H39" s="46"/>
      <c r="I39" s="23"/>
      <c r="K39" s="71" t="s">
        <v>88</v>
      </c>
      <c r="L39" s="71">
        <v>46000</v>
      </c>
    </row>
    <row r="40" spans="1:14" ht="15" customHeight="1" x14ac:dyDescent="0.25">
      <c r="A40" s="19"/>
      <c r="B40" s="82"/>
      <c r="C40" s="83"/>
      <c r="D40" s="9" t="str">
        <f>+K39</f>
        <v>Public Prov Fund</v>
      </c>
      <c r="F40" s="9">
        <f>+L39</f>
        <v>46000</v>
      </c>
      <c r="H40" s="46"/>
      <c r="I40" s="23"/>
      <c r="K40" s="71" t="s">
        <v>89</v>
      </c>
      <c r="L40" s="71">
        <v>70000</v>
      </c>
    </row>
    <row r="41" spans="1:14" ht="15" customHeight="1" x14ac:dyDescent="0.25">
      <c r="A41" s="19"/>
      <c r="B41" s="82"/>
      <c r="D41" s="9" t="s">
        <v>90</v>
      </c>
      <c r="F41" s="9">
        <f>+L42</f>
        <v>10000</v>
      </c>
      <c r="H41" s="46"/>
      <c r="I41" s="23"/>
      <c r="K41" s="71" t="s">
        <v>91</v>
      </c>
      <c r="L41" s="9">
        <v>70000</v>
      </c>
    </row>
    <row r="42" spans="1:14" ht="15" customHeight="1" x14ac:dyDescent="0.25">
      <c r="A42" s="19"/>
      <c r="B42" s="82"/>
      <c r="D42" s="9" t="s">
        <v>92</v>
      </c>
      <c r="F42" s="9">
        <f>70000*0.079</f>
        <v>5530</v>
      </c>
      <c r="H42" s="46"/>
      <c r="I42" s="23"/>
      <c r="K42" s="71" t="s">
        <v>93</v>
      </c>
      <c r="L42" s="9">
        <v>10000</v>
      </c>
      <c r="M42" s="71"/>
    </row>
    <row r="43" spans="1:14" ht="15" customHeight="1" x14ac:dyDescent="0.25">
      <c r="A43" s="19"/>
      <c r="B43" s="82"/>
      <c r="D43" s="84" t="s">
        <v>94</v>
      </c>
      <c r="F43" s="85"/>
      <c r="G43" s="9">
        <f>SUM(F39:F42)</f>
        <v>141530</v>
      </c>
      <c r="H43" s="46"/>
      <c r="I43" s="23"/>
    </row>
    <row r="44" spans="1:14" ht="15" customHeight="1" x14ac:dyDescent="0.25">
      <c r="A44" s="19"/>
      <c r="B44" s="82"/>
      <c r="C44" s="39" t="s">
        <v>95</v>
      </c>
      <c r="D44" s="38"/>
      <c r="F44" s="86">
        <v>20000</v>
      </c>
      <c r="G44" s="45">
        <f>150000-G43</f>
        <v>8470</v>
      </c>
      <c r="H44" s="46"/>
      <c r="I44" s="23"/>
      <c r="L44" s="71"/>
    </row>
    <row r="45" spans="1:14" ht="15" customHeight="1" x14ac:dyDescent="0.25">
      <c r="A45" s="19"/>
      <c r="B45" s="82"/>
      <c r="C45" s="39" t="s">
        <v>96</v>
      </c>
      <c r="F45" s="87"/>
      <c r="G45" s="67">
        <v>50000</v>
      </c>
      <c r="H45" s="46"/>
      <c r="I45" s="23"/>
      <c r="K45" s="84"/>
      <c r="M45" s="88"/>
    </row>
    <row r="46" spans="1:14" ht="15" customHeight="1" x14ac:dyDescent="0.25">
      <c r="A46" s="89">
        <f>+I2</f>
        <v>0</v>
      </c>
      <c r="C46" s="39" t="s">
        <v>97</v>
      </c>
      <c r="D46" s="38" t="s">
        <v>98</v>
      </c>
      <c r="E46" s="8"/>
      <c r="F46" s="8"/>
      <c r="G46" s="48">
        <v>10000</v>
      </c>
      <c r="H46" s="46">
        <f>SUM(G39:G46)</f>
        <v>210000</v>
      </c>
      <c r="I46" s="23"/>
      <c r="K46" s="90"/>
    </row>
    <row r="47" spans="1:14" ht="15" customHeight="1" thickBot="1" x14ac:dyDescent="0.3">
      <c r="A47" s="19"/>
      <c r="B47" s="91" t="s">
        <v>99</v>
      </c>
      <c r="E47" s="92">
        <f>IF((H37-H46)&lt;0,0,(H37-H46))</f>
        <v>6029350</v>
      </c>
      <c r="F47" s="93" t="s">
        <v>100</v>
      </c>
      <c r="G47" s="94"/>
      <c r="H47" s="95">
        <f>ROUND((E47/10),0)*10</f>
        <v>6029350</v>
      </c>
      <c r="I47" s="96"/>
      <c r="K47" s="87" t="s">
        <v>101</v>
      </c>
    </row>
    <row r="48" spans="1:14" ht="15" customHeight="1" thickTop="1" x14ac:dyDescent="0.25">
      <c r="A48" s="19"/>
      <c r="B48" s="87" t="s">
        <v>102</v>
      </c>
      <c r="E48" s="97" t="s">
        <v>103</v>
      </c>
      <c r="F48" s="98" t="s">
        <v>104</v>
      </c>
      <c r="G48" s="97" t="s">
        <v>105</v>
      </c>
      <c r="H48" s="99"/>
      <c r="I48" s="100"/>
      <c r="K48" s="101" t="s">
        <v>106</v>
      </c>
      <c r="L48" s="102">
        <v>0.05</v>
      </c>
      <c r="M48" s="9">
        <f>250000*5%</f>
        <v>12500</v>
      </c>
    </row>
    <row r="49" spans="1:13" ht="15" customHeight="1" x14ac:dyDescent="0.25">
      <c r="A49" s="19"/>
      <c r="B49" s="103"/>
      <c r="C49" s="38" t="s">
        <v>107</v>
      </c>
      <c r="E49" s="17">
        <f>H47-E50</f>
        <v>5357590</v>
      </c>
      <c r="F49" s="104"/>
      <c r="G49" s="9">
        <f>IF(+I2="Sr",ROUND(IF(E49&gt;1000000,(((E49-1000000)*0.3)+110000),IF(E49&gt;500000,(((E49-500000)*0.2)+10000),IF(E49&gt;300000,((E49-300000)*0.05),0))),0),ROUND(IF(E49&gt;1000000,(((E49-1000000)*0.3)+112500),IF(E49&gt;500000,(((E49-500000)*0.2)+12500),IF(E49&gt;250000,((E49-250000)*0.05),0))),0))</f>
        <v>1419777</v>
      </c>
      <c r="H49" s="99"/>
      <c r="I49" s="100"/>
      <c r="K49" s="101" t="s">
        <v>108</v>
      </c>
      <c r="L49" s="102">
        <v>0.2</v>
      </c>
      <c r="M49" s="9">
        <f>500000*20%</f>
        <v>100000</v>
      </c>
    </row>
    <row r="50" spans="1:13" ht="15" customHeight="1" x14ac:dyDescent="0.25">
      <c r="A50" s="19"/>
      <c r="B50" s="89" t="s">
        <v>109</v>
      </c>
      <c r="C50" s="38" t="s">
        <v>110</v>
      </c>
      <c r="E50" s="68">
        <f>+H27</f>
        <v>671760</v>
      </c>
      <c r="F50" s="105">
        <v>0.2</v>
      </c>
      <c r="G50" s="48">
        <f>ROUND(E50*F50,0)</f>
        <v>134352</v>
      </c>
      <c r="H50" s="106"/>
      <c r="I50" s="107"/>
      <c r="K50" s="101" t="s">
        <v>111</v>
      </c>
      <c r="L50" s="102">
        <v>0.3</v>
      </c>
      <c r="M50" s="9">
        <f>ROUND((E49-1000000)*30%,0)</f>
        <v>1307277</v>
      </c>
    </row>
    <row r="51" spans="1:13" ht="15" customHeight="1" thickBot="1" x14ac:dyDescent="0.3">
      <c r="A51" s="19"/>
      <c r="D51" s="104"/>
      <c r="E51" s="8"/>
      <c r="G51" s="28">
        <f>G49+G50</f>
        <v>1554129</v>
      </c>
      <c r="H51" s="108"/>
      <c r="I51" s="109"/>
      <c r="M51" s="110">
        <f>SUM(M48:M50)</f>
        <v>1419777</v>
      </c>
    </row>
    <row r="52" spans="1:13" ht="15" customHeight="1" thickTop="1" x14ac:dyDescent="0.25">
      <c r="A52" s="19"/>
      <c r="B52" s="38" t="s">
        <v>112</v>
      </c>
      <c r="C52" s="38" t="s">
        <v>113</v>
      </c>
      <c r="D52" s="104"/>
      <c r="E52" s="8"/>
      <c r="G52" s="111">
        <f>IF(H47&gt;350000,0,IF(G51&gt;2500,2500,G51))</f>
        <v>0</v>
      </c>
      <c r="H52" s="112">
        <f>G51-G52</f>
        <v>1554129</v>
      </c>
      <c r="I52" s="113"/>
    </row>
    <row r="53" spans="1:13" ht="15" customHeight="1" x14ac:dyDescent="0.25">
      <c r="A53" s="19"/>
      <c r="B53" s="9" t="s">
        <v>114</v>
      </c>
      <c r="C53" s="38"/>
      <c r="D53" s="104"/>
      <c r="E53" s="8"/>
      <c r="G53" s="114">
        <v>0.1</v>
      </c>
      <c r="H53" s="115">
        <f>IF(H47&gt;10000000,H52*15%,IF(H47&gt;5000000,H52*10%,0))</f>
        <v>155412.9</v>
      </c>
      <c r="I53" s="116"/>
      <c r="K53" s="117" t="s">
        <v>115</v>
      </c>
      <c r="L53" s="118" t="s">
        <v>116</v>
      </c>
    </row>
    <row r="54" spans="1:13" ht="15" customHeight="1" x14ac:dyDescent="0.25">
      <c r="A54" s="19"/>
      <c r="C54" s="38"/>
      <c r="D54" s="104"/>
      <c r="E54" s="8"/>
      <c r="G54" s="28"/>
      <c r="H54" s="112">
        <f>H52+H53</f>
        <v>1709541.9</v>
      </c>
      <c r="I54" s="113"/>
      <c r="K54" s="119" t="s">
        <v>117</v>
      </c>
      <c r="L54" s="120">
        <v>600000</v>
      </c>
      <c r="M54" s="121"/>
    </row>
    <row r="55" spans="1:13" ht="15" customHeight="1" x14ac:dyDescent="0.25">
      <c r="A55" s="19"/>
      <c r="B55" s="38" t="s">
        <v>118</v>
      </c>
      <c r="D55" s="104"/>
      <c r="E55" s="8"/>
      <c r="G55" s="114">
        <v>0.04</v>
      </c>
      <c r="H55" s="115">
        <f>ROUND((H54)*0.04,0)</f>
        <v>68382</v>
      </c>
      <c r="I55" s="116"/>
      <c r="K55" s="119" t="s">
        <v>119</v>
      </c>
      <c r="L55" s="120">
        <v>2400000</v>
      </c>
      <c r="M55" s="121"/>
    </row>
    <row r="56" spans="1:13" ht="15" customHeight="1" x14ac:dyDescent="0.25">
      <c r="A56" s="19"/>
      <c r="B56" s="87" t="s">
        <v>120</v>
      </c>
      <c r="D56" s="104"/>
      <c r="E56" s="93"/>
      <c r="G56" s="8"/>
      <c r="H56" s="108">
        <f>SUM(H54:H55)</f>
        <v>1777923.9</v>
      </c>
      <c r="I56" s="109"/>
      <c r="J56" s="122"/>
      <c r="K56" s="119" t="s">
        <v>121</v>
      </c>
      <c r="L56" s="120">
        <v>8510000</v>
      </c>
    </row>
    <row r="57" spans="1:13" ht="15" customHeight="1" x14ac:dyDescent="0.3">
      <c r="A57" s="19"/>
      <c r="B57" s="38" t="s">
        <v>122</v>
      </c>
      <c r="D57" s="104"/>
      <c r="E57" s="123" t="s">
        <v>123</v>
      </c>
      <c r="G57" s="124"/>
      <c r="H57" s="125">
        <v>73202</v>
      </c>
      <c r="I57" s="109"/>
      <c r="J57" s="126">
        <v>74022</v>
      </c>
      <c r="K57" s="119" t="s">
        <v>124</v>
      </c>
      <c r="L57" s="120">
        <v>84000</v>
      </c>
    </row>
    <row r="58" spans="1:13" ht="15" customHeight="1" x14ac:dyDescent="0.3">
      <c r="A58" s="127"/>
      <c r="B58" s="38" t="s">
        <v>125</v>
      </c>
      <c r="C58" s="8"/>
      <c r="D58" s="8"/>
      <c r="E58" s="8" t="s">
        <v>126</v>
      </c>
      <c r="G58" s="124"/>
      <c r="H58" s="128">
        <v>5000</v>
      </c>
      <c r="I58" s="129"/>
      <c r="J58" s="130">
        <f>J57-H57</f>
        <v>820</v>
      </c>
      <c r="L58" s="131" t="s">
        <v>127</v>
      </c>
      <c r="M58" s="132">
        <v>10000</v>
      </c>
    </row>
    <row r="59" spans="1:13" ht="15" customHeight="1" x14ac:dyDescent="0.25">
      <c r="A59" s="19"/>
      <c r="B59" s="87" t="s">
        <v>128</v>
      </c>
      <c r="C59" s="8"/>
      <c r="D59" s="8"/>
      <c r="E59" s="8"/>
      <c r="F59" s="8"/>
      <c r="G59" s="8"/>
      <c r="H59" s="46">
        <f>H56+H57+H58</f>
        <v>1856125.9</v>
      </c>
      <c r="I59" s="23"/>
      <c r="J59" s="38"/>
    </row>
    <row r="60" spans="1:13" ht="15" customHeight="1" x14ac:dyDescent="0.25">
      <c r="A60" s="19"/>
      <c r="B60" s="12" t="s">
        <v>129</v>
      </c>
      <c r="C60" s="8"/>
      <c r="D60" s="8"/>
      <c r="E60" s="8"/>
      <c r="F60" s="8"/>
      <c r="G60" s="8"/>
      <c r="H60" s="46"/>
      <c r="I60" s="23"/>
    </row>
    <row r="61" spans="1:13" ht="15" customHeight="1" x14ac:dyDescent="0.3">
      <c r="A61" s="19"/>
      <c r="B61" s="61">
        <v>44447</v>
      </c>
      <c r="C61" s="275" t="s">
        <v>130</v>
      </c>
      <c r="D61" s="275"/>
      <c r="E61" s="133"/>
      <c r="F61" s="133"/>
      <c r="G61" s="68">
        <v>41000</v>
      </c>
      <c r="H61" s="46"/>
      <c r="I61" s="23"/>
      <c r="K61" s="134" t="s">
        <v>131</v>
      </c>
    </row>
    <row r="62" spans="1:13" ht="15" customHeight="1" x14ac:dyDescent="0.3">
      <c r="A62" s="19"/>
      <c r="B62" s="61">
        <v>44746</v>
      </c>
      <c r="C62" s="274" t="s">
        <v>132</v>
      </c>
      <c r="D62" s="274"/>
      <c r="E62" s="274"/>
      <c r="F62" s="133"/>
      <c r="G62" s="68">
        <v>170000</v>
      </c>
      <c r="H62" s="46"/>
      <c r="I62" s="23"/>
      <c r="K62" s="9" t="s">
        <v>133</v>
      </c>
      <c r="L62" s="17">
        <f>+H10</f>
        <v>4164000</v>
      </c>
    </row>
    <row r="63" spans="1:13" ht="15" customHeight="1" x14ac:dyDescent="0.3">
      <c r="A63" s="19"/>
      <c r="B63" s="135"/>
      <c r="C63" s="275" t="s">
        <v>134</v>
      </c>
      <c r="D63" s="275"/>
      <c r="E63" s="133" t="s">
        <v>135</v>
      </c>
      <c r="F63" s="136"/>
      <c r="G63" s="68">
        <v>1042000</v>
      </c>
      <c r="H63" s="46"/>
      <c r="I63" s="23"/>
      <c r="K63" s="16" t="s">
        <v>136</v>
      </c>
      <c r="L63" s="85">
        <f>G43+G44+G45</f>
        <v>200000</v>
      </c>
      <c r="M63" s="17">
        <f>L62-L63</f>
        <v>3964000</v>
      </c>
    </row>
    <row r="64" spans="1:13" ht="15" customHeight="1" x14ac:dyDescent="0.3">
      <c r="A64" s="19"/>
      <c r="B64" s="135"/>
      <c r="C64" s="275" t="s">
        <v>137</v>
      </c>
      <c r="D64" s="275"/>
      <c r="E64" s="133" t="s">
        <v>138</v>
      </c>
      <c r="F64" s="136"/>
      <c r="G64" s="68">
        <v>200000</v>
      </c>
      <c r="H64" s="46"/>
      <c r="I64" s="23"/>
      <c r="K64" s="137" t="s">
        <v>139</v>
      </c>
      <c r="M64" s="9">
        <f>112500+(M63-1000000)*0.3</f>
        <v>1001700</v>
      </c>
    </row>
    <row r="65" spans="1:13" ht="15" customHeight="1" x14ac:dyDescent="0.25">
      <c r="A65" s="19"/>
      <c r="H65" s="46">
        <f>SUM(G61:G64)</f>
        <v>1453000</v>
      </c>
      <c r="I65" s="23"/>
      <c r="K65" s="137" t="s">
        <v>140</v>
      </c>
      <c r="L65" s="102"/>
    </row>
    <row r="66" spans="1:13" ht="15" customHeight="1" thickBot="1" x14ac:dyDescent="0.3">
      <c r="A66" s="138"/>
      <c r="B66" s="139" t="str">
        <f>IF(H66=0,"TAX  PAYABLE / REFUND ",IF(H66&lt;0,"REFUND","TAX  PAYABLE including Interest"))</f>
        <v>TAX  PAYABLE including Interest</v>
      </c>
      <c r="C66" s="140"/>
      <c r="D66" s="141"/>
      <c r="E66" s="141"/>
      <c r="F66" s="142" t="s">
        <v>141</v>
      </c>
      <c r="G66" s="143"/>
      <c r="H66" s="144">
        <f>ROUND((H59-H65)/10,0)*10</f>
        <v>403130</v>
      </c>
      <c r="I66" s="145"/>
      <c r="K66" s="137" t="s">
        <v>142</v>
      </c>
      <c r="L66" s="102">
        <v>0.04</v>
      </c>
      <c r="M66" s="9">
        <f>ROUND((M65+M64)*0.04,0)</f>
        <v>40068</v>
      </c>
    </row>
    <row r="67" spans="1:13" ht="15" customHeight="1" thickBot="1" x14ac:dyDescent="0.3">
      <c r="A67" s="276" t="s">
        <v>143</v>
      </c>
      <c r="B67" s="277"/>
      <c r="C67" s="277"/>
      <c r="D67" s="277"/>
      <c r="E67" s="277"/>
      <c r="F67" s="277"/>
      <c r="G67" s="277"/>
      <c r="H67" s="277"/>
      <c r="I67" s="278"/>
      <c r="M67" s="146">
        <f>SUM(M64:M66)</f>
        <v>1041768</v>
      </c>
    </row>
    <row r="68" spans="1:13" ht="15" customHeight="1" thickTop="1" thickBot="1" x14ac:dyDescent="0.3">
      <c r="A68" s="279"/>
      <c r="B68" s="280"/>
      <c r="C68" s="147" t="s">
        <v>144</v>
      </c>
      <c r="D68" s="148"/>
      <c r="E68" s="149" t="s">
        <v>145</v>
      </c>
      <c r="F68" s="281" t="s">
        <v>146</v>
      </c>
      <c r="G68" s="281"/>
      <c r="H68" s="281"/>
      <c r="I68" s="282"/>
    </row>
    <row r="69" spans="1:13" ht="15" customHeight="1" x14ac:dyDescent="0.25">
      <c r="A69" s="150"/>
      <c r="B69" s="151"/>
      <c r="C69" s="151"/>
      <c r="D69" s="151"/>
      <c r="E69" s="151"/>
      <c r="F69" s="151"/>
      <c r="G69" s="151"/>
      <c r="H69" s="151"/>
      <c r="I69" s="151"/>
      <c r="K69" s="132"/>
      <c r="L69" s="152"/>
    </row>
    <row r="70" spans="1:13" ht="15" customHeight="1" x14ac:dyDescent="0.25">
      <c r="A70" s="150"/>
      <c r="B70" s="9" t="s">
        <v>147</v>
      </c>
      <c r="C70" s="151"/>
      <c r="D70" s="151" t="s">
        <v>148</v>
      </c>
      <c r="E70" s="151" t="s">
        <v>149</v>
      </c>
      <c r="F70" s="38"/>
      <c r="G70" s="151"/>
      <c r="H70" s="153" t="s">
        <v>150</v>
      </c>
      <c r="I70" s="151"/>
      <c r="K70" s="132"/>
      <c r="L70" s="152"/>
    </row>
    <row r="71" spans="1:13" ht="15" customHeight="1" x14ac:dyDescent="0.25">
      <c r="A71" s="154"/>
      <c r="B71" s="77" t="s">
        <v>151</v>
      </c>
      <c r="C71" s="155"/>
      <c r="D71" s="155" t="s">
        <v>152</v>
      </c>
      <c r="E71" s="155" t="s">
        <v>153</v>
      </c>
      <c r="F71" s="155" t="s">
        <v>154</v>
      </c>
      <c r="G71" s="155" t="s">
        <v>155</v>
      </c>
      <c r="H71" s="156" t="s">
        <v>156</v>
      </c>
      <c r="I71" s="151"/>
      <c r="L71" s="157"/>
      <c r="M71" s="157"/>
    </row>
    <row r="72" spans="1:13" ht="15" customHeight="1" x14ac:dyDescent="0.25">
      <c r="A72" s="150"/>
      <c r="B72" s="9" t="s">
        <v>26</v>
      </c>
      <c r="C72" s="151"/>
      <c r="D72" s="151" t="s">
        <v>157</v>
      </c>
      <c r="E72" s="151" t="s">
        <v>153</v>
      </c>
      <c r="F72" s="151" t="s">
        <v>154</v>
      </c>
      <c r="G72" s="151" t="s">
        <v>155</v>
      </c>
      <c r="H72" s="153" t="s">
        <v>156</v>
      </c>
      <c r="I72" s="151"/>
      <c r="L72" s="157"/>
      <c r="M72" s="157"/>
    </row>
    <row r="73" spans="1:13" ht="15" customHeight="1" x14ac:dyDescent="0.25">
      <c r="L73" s="157"/>
      <c r="M73" s="157"/>
    </row>
    <row r="74" spans="1:13" ht="15" customHeight="1" x14ac:dyDescent="0.25">
      <c r="B74" s="158"/>
      <c r="C74" s="159"/>
      <c r="J74" s="160"/>
      <c r="K74" s="161"/>
      <c r="L74" s="162"/>
    </row>
    <row r="75" spans="1:13" ht="15" customHeight="1" x14ac:dyDescent="0.25">
      <c r="B75" s="163" t="s">
        <v>158</v>
      </c>
      <c r="C75" s="164"/>
      <c r="D75" s="164"/>
      <c r="E75" s="164"/>
      <c r="F75" s="164"/>
      <c r="G75" s="165" t="s">
        <v>159</v>
      </c>
      <c r="H75" s="166">
        <f>H87+H99+H109</f>
        <v>74022</v>
      </c>
      <c r="J75" s="167"/>
      <c r="K75" s="168" t="s">
        <v>160</v>
      </c>
      <c r="L75" s="169" t="s">
        <v>161</v>
      </c>
    </row>
    <row r="76" spans="1:13" ht="15" customHeight="1" x14ac:dyDescent="0.25">
      <c r="B76" s="170" t="s">
        <v>162</v>
      </c>
      <c r="C76" s="171"/>
      <c r="D76" s="171"/>
      <c r="E76" s="171"/>
      <c r="F76" s="171"/>
      <c r="G76" s="172"/>
      <c r="H76" s="173"/>
      <c r="J76" s="98"/>
      <c r="K76" s="168" t="s">
        <v>163</v>
      </c>
      <c r="L76" s="174" t="s">
        <v>164</v>
      </c>
    </row>
    <row r="77" spans="1:13" ht="15" customHeight="1" x14ac:dyDescent="0.25">
      <c r="B77" s="175" t="s">
        <v>165</v>
      </c>
      <c r="C77" s="171"/>
      <c r="D77" s="171"/>
      <c r="E77" s="9">
        <f>ROUND(G77-(671760*22.88%),0)</f>
        <v>1624225</v>
      </c>
      <c r="G77" s="176">
        <f>+H56</f>
        <v>1777923.9</v>
      </c>
      <c r="I77" s="171"/>
      <c r="J77" s="160"/>
      <c r="K77" s="177" t="s">
        <v>166</v>
      </c>
      <c r="L77" s="174" t="s">
        <v>167</v>
      </c>
    </row>
    <row r="78" spans="1:13" ht="15" customHeight="1" x14ac:dyDescent="0.25">
      <c r="B78" s="175" t="s">
        <v>168</v>
      </c>
      <c r="C78" s="171"/>
      <c r="D78" s="171"/>
      <c r="E78" s="17">
        <f>+G78</f>
        <v>-1242000</v>
      </c>
      <c r="G78" s="176">
        <f>(+G63+G64)*-1</f>
        <v>-1242000</v>
      </c>
      <c r="I78" s="171"/>
      <c r="J78" s="178"/>
      <c r="K78" s="177" t="s">
        <v>169</v>
      </c>
      <c r="L78" s="174" t="s">
        <v>170</v>
      </c>
    </row>
    <row r="79" spans="1:13" ht="15" customHeight="1" thickBot="1" x14ac:dyDescent="0.3">
      <c r="B79" s="175" t="s">
        <v>171</v>
      </c>
      <c r="C79" s="171"/>
      <c r="D79" s="171"/>
      <c r="E79" s="179">
        <f>SUM(E77:E78)</f>
        <v>382225</v>
      </c>
      <c r="G79" s="180">
        <f>G77+G78</f>
        <v>535923.89999999991</v>
      </c>
      <c r="I79" s="171"/>
      <c r="J79" s="178"/>
    </row>
    <row r="80" spans="1:13" ht="18" customHeight="1" thickTop="1" x14ac:dyDescent="0.25">
      <c r="C80" s="171"/>
      <c r="D80" s="171"/>
      <c r="E80" s="9">
        <f>+E79</f>
        <v>382225</v>
      </c>
      <c r="G80" s="181">
        <f>IF(G79&gt;10000,G79,0)</f>
        <v>535923.89999999991</v>
      </c>
      <c r="J80" s="182"/>
    </row>
    <row r="81" spans="1:11" ht="25.5" customHeight="1" x14ac:dyDescent="0.25">
      <c r="B81" s="183" t="s">
        <v>172</v>
      </c>
      <c r="C81" s="184" t="s">
        <v>173</v>
      </c>
      <c r="D81" s="184" t="s">
        <v>174</v>
      </c>
      <c r="E81" s="184" t="s">
        <v>175</v>
      </c>
      <c r="F81" s="185" t="s">
        <v>176</v>
      </c>
      <c r="G81" s="186" t="s">
        <v>177</v>
      </c>
      <c r="H81" s="184" t="s">
        <v>178</v>
      </c>
      <c r="J81" s="182"/>
    </row>
    <row r="82" spans="1:11" ht="15" customHeight="1" x14ac:dyDescent="0.25">
      <c r="A82" s="187">
        <v>1</v>
      </c>
      <c r="B82" s="188"/>
      <c r="C82" s="189"/>
      <c r="D82" s="188">
        <v>44362</v>
      </c>
      <c r="E82" s="176">
        <f>E80*0.15</f>
        <v>57333.75</v>
      </c>
      <c r="F82" s="176">
        <f>ROUNDDOWN(+E82,-2)</f>
        <v>57300</v>
      </c>
      <c r="G82" s="176">
        <f>(F82-C82)</f>
        <v>57300</v>
      </c>
      <c r="H82" s="190">
        <f>IF(G82&gt;0,G82*0.12/12*3,0)</f>
        <v>1719</v>
      </c>
      <c r="I82" s="269" t="s">
        <v>179</v>
      </c>
      <c r="J82" s="269"/>
      <c r="K82" s="191" t="s">
        <v>180</v>
      </c>
    </row>
    <row r="83" spans="1:11" ht="15" customHeight="1" x14ac:dyDescent="0.25">
      <c r="A83" s="187">
        <v>2</v>
      </c>
      <c r="B83" s="188">
        <v>44447</v>
      </c>
      <c r="C83" s="189">
        <f>+G61</f>
        <v>41000</v>
      </c>
      <c r="D83" s="188">
        <v>44454</v>
      </c>
      <c r="E83" s="176">
        <f>E80*0.45</f>
        <v>172001.25</v>
      </c>
      <c r="F83" s="176">
        <f>ROUNDDOWN(+E83,-2)</f>
        <v>172000</v>
      </c>
      <c r="G83" s="176">
        <f>(F83-C83-C82)</f>
        <v>131000</v>
      </c>
      <c r="H83" s="190">
        <f>IF(G83&gt;0,G83*0.12/12*3,0)</f>
        <v>3930</v>
      </c>
      <c r="J83" s="192" t="s">
        <v>181</v>
      </c>
      <c r="K83" s="193">
        <f>+H87</f>
        <v>17966</v>
      </c>
    </row>
    <row r="84" spans="1:11" ht="15" customHeight="1" x14ac:dyDescent="0.25">
      <c r="A84" s="187">
        <v>3</v>
      </c>
      <c r="B84" s="188"/>
      <c r="C84" s="189"/>
      <c r="D84" s="188">
        <v>44545</v>
      </c>
      <c r="E84" s="176">
        <f>E80*0.75</f>
        <v>286668.75</v>
      </c>
      <c r="F84" s="176">
        <f>ROUNDDOWN(+E84,-2)</f>
        <v>286600</v>
      </c>
      <c r="G84" s="176">
        <f>(F84-(C82+C83+C84))</f>
        <v>245600</v>
      </c>
      <c r="H84" s="190">
        <f>IF(G84&gt;0,G84*0.12/12*3,0)</f>
        <v>7368</v>
      </c>
      <c r="J84" s="192" t="s">
        <v>182</v>
      </c>
      <c r="K84" s="193">
        <f>+K83</f>
        <v>17966</v>
      </c>
    </row>
    <row r="85" spans="1:11" ht="15" customHeight="1" x14ac:dyDescent="0.25">
      <c r="A85" s="187">
        <v>4</v>
      </c>
      <c r="B85" s="188"/>
      <c r="C85" s="189"/>
      <c r="D85" s="188">
        <v>44635</v>
      </c>
      <c r="E85" s="176">
        <f>G80*1</f>
        <v>535923.89999999991</v>
      </c>
      <c r="F85" s="176">
        <f>ROUNDDOWN(+E85,-2)</f>
        <v>535900</v>
      </c>
      <c r="G85" s="176">
        <f>(F85-(C82+C83+C84+C85))</f>
        <v>494900</v>
      </c>
      <c r="H85" s="190">
        <f>IF(G85&gt;0,G85*0.12/12,0)</f>
        <v>4949</v>
      </c>
      <c r="J85" s="192" t="s">
        <v>183</v>
      </c>
      <c r="K85" s="193">
        <f>+K83</f>
        <v>17966</v>
      </c>
    </row>
    <row r="86" spans="1:11" ht="15" customHeight="1" x14ac:dyDescent="0.25">
      <c r="A86" s="187">
        <v>5</v>
      </c>
      <c r="B86" s="188"/>
      <c r="C86" s="189"/>
      <c r="D86" s="188">
        <v>44651</v>
      </c>
      <c r="F86" s="194"/>
      <c r="G86" s="194"/>
      <c r="H86" s="17"/>
      <c r="I86" s="194"/>
      <c r="J86" s="195"/>
      <c r="K86" s="196"/>
    </row>
    <row r="87" spans="1:11" ht="15" customHeight="1" thickBot="1" x14ac:dyDescent="0.3">
      <c r="B87" s="171"/>
      <c r="C87" s="197">
        <f>SUM(C82:C86)</f>
        <v>41000</v>
      </c>
      <c r="D87" s="171"/>
      <c r="E87" s="171"/>
      <c r="F87" s="171"/>
      <c r="G87" s="171"/>
      <c r="H87" s="198">
        <f>SUM(H82:H86)</f>
        <v>17966</v>
      </c>
      <c r="J87" s="8"/>
    </row>
    <row r="88" spans="1:11" ht="15" customHeight="1" thickTop="1" thickBot="1" x14ac:dyDescent="0.3">
      <c r="A88" s="199"/>
      <c r="B88" s="200"/>
      <c r="C88" s="201"/>
      <c r="D88" s="200"/>
      <c r="E88" s="200"/>
      <c r="F88" s="200"/>
      <c r="G88" s="200"/>
      <c r="H88" s="200"/>
      <c r="J88" s="8"/>
    </row>
    <row r="89" spans="1:11" ht="15" customHeight="1" x14ac:dyDescent="0.25">
      <c r="B89" s="170" t="s">
        <v>184</v>
      </c>
      <c r="C89" s="202"/>
      <c r="D89" s="171"/>
      <c r="E89" s="171"/>
      <c r="F89" s="171"/>
      <c r="G89" s="171"/>
      <c r="H89" s="182" t="s">
        <v>178</v>
      </c>
      <c r="J89" s="8"/>
    </row>
    <row r="90" spans="1:11" ht="15" customHeight="1" x14ac:dyDescent="0.25">
      <c r="B90" s="175" t="s">
        <v>165</v>
      </c>
      <c r="C90" s="171"/>
      <c r="D90" s="171"/>
      <c r="E90" s="176">
        <f>+G77</f>
        <v>1777923.9</v>
      </c>
      <c r="F90" s="171"/>
      <c r="G90" s="203">
        <v>44652</v>
      </c>
      <c r="H90" s="190">
        <f>F96*0.01</f>
        <v>4949</v>
      </c>
      <c r="J90" s="8"/>
    </row>
    <row r="91" spans="1:11" ht="15" customHeight="1" x14ac:dyDescent="0.25">
      <c r="B91" s="204" t="s">
        <v>168</v>
      </c>
      <c r="C91" s="171"/>
      <c r="D91" s="171"/>
      <c r="E91" s="176">
        <f>+G78</f>
        <v>-1242000</v>
      </c>
      <c r="F91" s="171"/>
      <c r="G91" s="203">
        <v>44682</v>
      </c>
      <c r="H91" s="190">
        <f>+H90</f>
        <v>4949</v>
      </c>
      <c r="J91" s="8"/>
    </row>
    <row r="92" spans="1:11" ht="15" customHeight="1" thickBot="1" x14ac:dyDescent="0.3">
      <c r="B92" s="204"/>
      <c r="C92" s="171"/>
      <c r="D92" s="171"/>
      <c r="E92" s="180">
        <f>E90+E91</f>
        <v>535923.89999999991</v>
      </c>
      <c r="G92" s="203">
        <v>44713</v>
      </c>
      <c r="H92" s="190">
        <f>+H91</f>
        <v>4949</v>
      </c>
      <c r="J92" s="8"/>
    </row>
    <row r="93" spans="1:11" ht="15" customHeight="1" thickTop="1" x14ac:dyDescent="0.25">
      <c r="F93" s="171"/>
      <c r="G93" s="203">
        <v>44743</v>
      </c>
      <c r="H93" s="190">
        <f>+H91</f>
        <v>4949</v>
      </c>
      <c r="J93" s="8"/>
    </row>
    <row r="94" spans="1:11" ht="15" customHeight="1" x14ac:dyDescent="0.25">
      <c r="B94" s="171" t="s">
        <v>185</v>
      </c>
      <c r="C94" s="202"/>
      <c r="D94" s="205">
        <v>0.9</v>
      </c>
      <c r="E94" s="206">
        <f>ROUND(E92*90%,0)</f>
        <v>482332</v>
      </c>
      <c r="F94" s="171"/>
      <c r="G94" s="203">
        <v>44774</v>
      </c>
      <c r="H94" s="190">
        <f>F100*0.01</f>
        <v>3626</v>
      </c>
      <c r="J94" s="8"/>
    </row>
    <row r="95" spans="1:11" ht="15" customHeight="1" x14ac:dyDescent="0.25">
      <c r="B95" s="171" t="s">
        <v>186</v>
      </c>
      <c r="C95" s="202"/>
      <c r="D95" s="171"/>
      <c r="E95" s="176">
        <f>ROUND(+C87,0)</f>
        <v>41000</v>
      </c>
      <c r="F95" s="171"/>
      <c r="G95" s="203">
        <v>44805</v>
      </c>
      <c r="H95" s="207">
        <f>+H94</f>
        <v>3626</v>
      </c>
    </row>
    <row r="96" spans="1:11" ht="15" customHeight="1" x14ac:dyDescent="0.25">
      <c r="B96" s="9" t="s">
        <v>187</v>
      </c>
      <c r="C96" s="202"/>
      <c r="D96" s="171"/>
      <c r="E96" s="176">
        <f>E92-E95</f>
        <v>494923.89999999991</v>
      </c>
      <c r="F96" s="176">
        <f>ROUNDDOWN(E96,-2)</f>
        <v>494900</v>
      </c>
      <c r="G96" s="203">
        <v>44835</v>
      </c>
      <c r="H96" s="207">
        <f>+H95</f>
        <v>3626</v>
      </c>
      <c r="I96" s="270" t="s">
        <v>179</v>
      </c>
      <c r="J96" s="270"/>
      <c r="K96" s="69" t="s">
        <v>188</v>
      </c>
    </row>
    <row r="97" spans="1:11" ht="15" customHeight="1" x14ac:dyDescent="0.25">
      <c r="B97" s="208">
        <f>+B62</f>
        <v>44746</v>
      </c>
      <c r="C97" s="171" t="s">
        <v>189</v>
      </c>
      <c r="D97" s="171"/>
      <c r="E97" s="209">
        <f>+G62</f>
        <v>170000</v>
      </c>
      <c r="F97" s="171"/>
      <c r="G97" s="203">
        <v>44866</v>
      </c>
      <c r="H97" s="207">
        <v>3626</v>
      </c>
      <c r="J97" s="210"/>
      <c r="K97" s="211"/>
    </row>
    <row r="98" spans="1:11" ht="15" customHeight="1" x14ac:dyDescent="0.25">
      <c r="C98" s="16" t="s">
        <v>190</v>
      </c>
      <c r="E98" s="209">
        <f>H87+SUM(H90:H93)</f>
        <v>37762</v>
      </c>
      <c r="F98" s="171"/>
      <c r="G98" s="203">
        <v>44896</v>
      </c>
      <c r="H98" s="207">
        <v>3626</v>
      </c>
      <c r="J98" s="77"/>
      <c r="K98" s="212"/>
    </row>
    <row r="99" spans="1:11" ht="15" customHeight="1" thickBot="1" x14ac:dyDescent="0.3">
      <c r="C99" s="175" t="s">
        <v>191</v>
      </c>
      <c r="E99" s="213">
        <f>E97-E98</f>
        <v>132238</v>
      </c>
      <c r="F99" s="171"/>
      <c r="G99" s="171"/>
      <c r="H99" s="198">
        <f>SUM(H90:H98)</f>
        <v>37926</v>
      </c>
      <c r="J99" s="8"/>
    </row>
    <row r="100" spans="1:11" ht="15" customHeight="1" thickTop="1" x14ac:dyDescent="0.25">
      <c r="B100" s="9" t="s">
        <v>192</v>
      </c>
      <c r="C100" s="175"/>
      <c r="E100" s="214">
        <f>E96-E99</f>
        <v>362685.89999999991</v>
      </c>
      <c r="F100" s="176">
        <f>ROUNDDOWN(E100,-2)</f>
        <v>362600</v>
      </c>
      <c r="G100" s="171"/>
      <c r="H100" s="215"/>
      <c r="J100" s="8"/>
    </row>
    <row r="101" spans="1:11" ht="15" customHeight="1" thickBot="1" x14ac:dyDescent="0.3">
      <c r="A101" s="199"/>
      <c r="B101" s="216"/>
      <c r="C101" s="217"/>
      <c r="D101" s="216"/>
      <c r="E101" s="218"/>
      <c r="F101" s="219"/>
      <c r="G101" s="200"/>
      <c r="H101" s="220"/>
      <c r="J101" s="8"/>
    </row>
    <row r="102" spans="1:11" ht="15" customHeight="1" x14ac:dyDescent="0.25">
      <c r="B102" s="170" t="s">
        <v>193</v>
      </c>
      <c r="C102" s="221"/>
      <c r="D102" s="221"/>
      <c r="E102" s="221"/>
      <c r="F102" s="221"/>
      <c r="G102" s="221"/>
      <c r="H102" s="221"/>
      <c r="I102" s="221"/>
      <c r="J102" s="215"/>
    </row>
    <row r="103" spans="1:11" ht="15" customHeight="1" x14ac:dyDescent="0.25">
      <c r="B103" s="175" t="s">
        <v>165</v>
      </c>
      <c r="C103" s="171"/>
      <c r="D103" s="171"/>
      <c r="E103" s="176">
        <f>+G77</f>
        <v>1777923.9</v>
      </c>
      <c r="F103" s="221"/>
      <c r="G103" s="171"/>
      <c r="H103" s="182" t="s">
        <v>178</v>
      </c>
      <c r="I103" s="221"/>
      <c r="J103" s="215"/>
    </row>
    <row r="104" spans="1:11" ht="15" customHeight="1" x14ac:dyDescent="0.25">
      <c r="B104" s="204" t="s">
        <v>168</v>
      </c>
      <c r="C104" s="171"/>
      <c r="D104" s="171"/>
      <c r="E104" s="176">
        <f>+G78</f>
        <v>-1242000</v>
      </c>
      <c r="F104" s="221"/>
      <c r="G104" s="203">
        <v>44774</v>
      </c>
      <c r="H104" s="190">
        <f>E110*0.01</f>
        <v>3626</v>
      </c>
      <c r="I104" s="221"/>
      <c r="J104" s="215"/>
    </row>
    <row r="105" spans="1:11" ht="15" customHeight="1" x14ac:dyDescent="0.25">
      <c r="B105" s="204" t="s">
        <v>194</v>
      </c>
      <c r="C105" s="171"/>
      <c r="D105" s="171"/>
      <c r="E105" s="176">
        <f>+G61*-1</f>
        <v>-41000</v>
      </c>
      <c r="F105" s="221"/>
      <c r="G105" s="203">
        <v>44805</v>
      </c>
      <c r="H105" s="190">
        <f>+H104</f>
        <v>3626</v>
      </c>
    </row>
    <row r="106" spans="1:11" ht="15" customHeight="1" x14ac:dyDescent="0.25">
      <c r="B106" s="204" t="s">
        <v>195</v>
      </c>
      <c r="C106" s="171"/>
      <c r="D106" s="171"/>
      <c r="E106" s="49">
        <f>+H87</f>
        <v>17966</v>
      </c>
      <c r="F106" s="221"/>
      <c r="G106" s="203">
        <v>44835</v>
      </c>
      <c r="H106" s="190">
        <f>+H105</f>
        <v>3626</v>
      </c>
      <c r="I106" s="271"/>
      <c r="J106" s="271"/>
      <c r="K106" s="222"/>
    </row>
    <row r="107" spans="1:11" ht="15" customHeight="1" x14ac:dyDescent="0.25">
      <c r="B107" s="204" t="s">
        <v>196</v>
      </c>
      <c r="C107" s="171"/>
      <c r="D107" s="171"/>
      <c r="E107" s="49">
        <f>H90+H91+H92+H93</f>
        <v>19796</v>
      </c>
      <c r="F107" s="221"/>
      <c r="G107" s="203">
        <v>44866</v>
      </c>
      <c r="H107" s="190">
        <v>3626</v>
      </c>
      <c r="I107" s="221"/>
      <c r="J107" s="210"/>
      <c r="K107" s="211"/>
    </row>
    <row r="108" spans="1:11" ht="15" customHeight="1" x14ac:dyDescent="0.25">
      <c r="B108" s="204" t="s">
        <v>197</v>
      </c>
      <c r="C108" s="171"/>
      <c r="D108" s="171"/>
      <c r="E108" s="17">
        <f>+G62*-1</f>
        <v>-170000</v>
      </c>
      <c r="F108" s="221"/>
      <c r="G108" s="203">
        <v>44896</v>
      </c>
      <c r="H108" s="190">
        <v>3626</v>
      </c>
      <c r="I108" s="221"/>
      <c r="J108" s="223"/>
      <c r="K108" s="224"/>
    </row>
    <row r="109" spans="1:11" ht="15" customHeight="1" thickBot="1" x14ac:dyDescent="0.3">
      <c r="E109" s="180">
        <f>SUM(E103:E108)</f>
        <v>362685.89999999991</v>
      </c>
      <c r="F109" s="221"/>
      <c r="G109" s="225"/>
      <c r="H109" s="198">
        <f>SUM(H104:H108)</f>
        <v>18130</v>
      </c>
      <c r="I109" s="221"/>
      <c r="J109" s="215"/>
    </row>
    <row r="110" spans="1:11" ht="15" customHeight="1" thickTop="1" x14ac:dyDescent="0.25">
      <c r="C110" s="171"/>
      <c r="D110" s="171"/>
      <c r="E110" s="176">
        <f>ROUNDDOWN(+E109,-2)</f>
        <v>362600</v>
      </c>
      <c r="F110" s="221"/>
      <c r="G110" s="221"/>
      <c r="H110" s="221"/>
      <c r="I110" s="221"/>
      <c r="J110" s="215"/>
    </row>
    <row r="111" spans="1:11" ht="15" customHeight="1" x14ac:dyDescent="0.25">
      <c r="C111" s="171"/>
      <c r="D111" s="171"/>
      <c r="E111" s="176"/>
      <c r="F111" s="176"/>
      <c r="G111" s="221"/>
      <c r="H111" s="221"/>
      <c r="I111" s="221"/>
      <c r="J111" s="215"/>
    </row>
    <row r="112" spans="1:11" ht="15" customHeight="1" thickBot="1" x14ac:dyDescent="0.3">
      <c r="C112" s="171"/>
      <c r="D112" s="171"/>
      <c r="E112" s="176"/>
      <c r="F112" s="221"/>
      <c r="G112" s="221"/>
      <c r="H112" s="221"/>
      <c r="I112" s="221"/>
      <c r="J112" s="215"/>
    </row>
    <row r="113" spans="1:12" s="38" customFormat="1" ht="15" customHeight="1" x14ac:dyDescent="0.25">
      <c r="A113" s="226" t="s">
        <v>198</v>
      </c>
      <c r="B113" s="227"/>
      <c r="C113" s="227"/>
      <c r="D113" s="227"/>
      <c r="E113" s="227"/>
      <c r="F113" s="227"/>
      <c r="G113" s="272" t="s">
        <v>199</v>
      </c>
      <c r="H113" s="273"/>
      <c r="J113" s="160"/>
      <c r="K113" s="228"/>
      <c r="L113" s="47"/>
    </row>
    <row r="114" spans="1:12" s="38" customFormat="1" ht="15" customHeight="1" x14ac:dyDescent="0.25">
      <c r="A114" s="229" t="s">
        <v>200</v>
      </c>
      <c r="H114" s="100"/>
      <c r="J114" s="160"/>
      <c r="K114" s="230"/>
      <c r="L114" s="47"/>
    </row>
    <row r="115" spans="1:12" s="38" customFormat="1" ht="15" customHeight="1" x14ac:dyDescent="0.25">
      <c r="A115" s="229" t="s">
        <v>201</v>
      </c>
      <c r="H115" s="100"/>
      <c r="J115" s="160"/>
      <c r="K115" s="230"/>
      <c r="L115" s="47"/>
    </row>
    <row r="116" spans="1:12" s="38" customFormat="1" ht="15" customHeight="1" x14ac:dyDescent="0.2">
      <c r="A116" s="231" t="s">
        <v>202</v>
      </c>
      <c r="B116" s="264" t="s">
        <v>203</v>
      </c>
      <c r="C116" s="264"/>
      <c r="D116" s="264"/>
      <c r="E116" s="264"/>
      <c r="F116" s="264"/>
      <c r="G116" s="264"/>
      <c r="H116" s="265"/>
      <c r="I116" s="20"/>
      <c r="J116" s="160"/>
      <c r="K116" s="233" t="s">
        <v>204</v>
      </c>
      <c r="L116" s="47"/>
    </row>
    <row r="117" spans="1:12" s="38" customFormat="1" ht="26.25" customHeight="1" x14ac:dyDescent="0.2">
      <c r="A117" s="231" t="s">
        <v>205</v>
      </c>
      <c r="B117" s="264" t="s">
        <v>206</v>
      </c>
      <c r="C117" s="264"/>
      <c r="D117" s="264"/>
      <c r="E117" s="264"/>
      <c r="F117" s="264"/>
      <c r="G117" s="264"/>
      <c r="H117" s="265"/>
      <c r="I117" s="20"/>
      <c r="J117" s="160"/>
      <c r="K117" s="233" t="s">
        <v>207</v>
      </c>
      <c r="L117" s="47"/>
    </row>
    <row r="118" spans="1:12" s="38" customFormat="1" ht="26.25" customHeight="1" x14ac:dyDescent="0.2">
      <c r="A118" s="231" t="s">
        <v>208</v>
      </c>
      <c r="B118" s="264" t="s">
        <v>209</v>
      </c>
      <c r="C118" s="264"/>
      <c r="D118" s="264"/>
      <c r="E118" s="264"/>
      <c r="F118" s="264"/>
      <c r="G118" s="264"/>
      <c r="H118" s="265"/>
      <c r="I118" s="20"/>
      <c r="J118" s="160"/>
      <c r="K118" s="233" t="s">
        <v>210</v>
      </c>
      <c r="L118" s="47"/>
    </row>
    <row r="119" spans="1:12" s="38" customFormat="1" ht="26.25" customHeight="1" x14ac:dyDescent="0.2">
      <c r="A119" s="231" t="s">
        <v>211</v>
      </c>
      <c r="B119" s="264" t="s">
        <v>212</v>
      </c>
      <c r="C119" s="264"/>
      <c r="D119" s="264"/>
      <c r="E119" s="264"/>
      <c r="F119" s="264"/>
      <c r="G119" s="264"/>
      <c r="H119" s="265"/>
      <c r="I119" s="20"/>
      <c r="J119" s="160"/>
      <c r="K119" s="233" t="s">
        <v>213</v>
      </c>
      <c r="L119" s="47"/>
    </row>
    <row r="120" spans="1:12" s="38" customFormat="1" ht="15" customHeight="1" x14ac:dyDescent="0.2">
      <c r="A120" s="231" t="s">
        <v>214</v>
      </c>
      <c r="B120" s="264" t="s">
        <v>215</v>
      </c>
      <c r="C120" s="264"/>
      <c r="D120" s="264"/>
      <c r="E120" s="264"/>
      <c r="F120" s="264"/>
      <c r="G120" s="264"/>
      <c r="H120" s="265"/>
      <c r="I120" s="20"/>
      <c r="J120" s="160"/>
      <c r="K120" s="233" t="s">
        <v>216</v>
      </c>
      <c r="L120" s="47"/>
    </row>
    <row r="121" spans="1:12" s="38" customFormat="1" ht="15" customHeight="1" x14ac:dyDescent="0.2">
      <c r="A121" s="231" t="s">
        <v>217</v>
      </c>
      <c r="B121" s="264" t="s">
        <v>218</v>
      </c>
      <c r="C121" s="264"/>
      <c r="D121" s="264"/>
      <c r="E121" s="264"/>
      <c r="F121" s="264"/>
      <c r="G121" s="264"/>
      <c r="H121" s="265"/>
      <c r="I121" s="20"/>
      <c r="J121" s="160"/>
      <c r="K121" s="233" t="s">
        <v>219</v>
      </c>
      <c r="L121" s="47"/>
    </row>
    <row r="122" spans="1:12" s="38" customFormat="1" ht="25.5" customHeight="1" x14ac:dyDescent="0.2">
      <c r="A122" s="234"/>
      <c r="B122" s="266" t="s">
        <v>220</v>
      </c>
      <c r="C122" s="266"/>
      <c r="D122" s="266"/>
      <c r="E122" s="266"/>
      <c r="F122" s="266"/>
      <c r="G122" s="266"/>
      <c r="H122" s="267"/>
      <c r="J122" s="160"/>
    </row>
    <row r="123" spans="1:12" s="38" customFormat="1" ht="15" customHeight="1" thickBot="1" x14ac:dyDescent="0.25">
      <c r="A123" s="235"/>
      <c r="B123" s="268" t="s">
        <v>221</v>
      </c>
      <c r="C123" s="268"/>
      <c r="D123" s="268"/>
      <c r="E123" s="268"/>
      <c r="F123" s="268"/>
      <c r="G123" s="268"/>
      <c r="H123" s="236"/>
      <c r="J123" s="160"/>
    </row>
    <row r="124" spans="1:12" s="38" customFormat="1" ht="15" customHeight="1" thickBot="1" x14ac:dyDescent="0.25">
      <c r="A124" s="237"/>
      <c r="B124" s="232"/>
      <c r="C124" s="232"/>
      <c r="D124" s="232"/>
      <c r="E124" s="232"/>
      <c r="F124" s="232"/>
      <c r="G124" s="232"/>
      <c r="J124" s="160"/>
    </row>
    <row r="125" spans="1:12" s="38" customFormat="1" ht="15" customHeight="1" x14ac:dyDescent="0.25">
      <c r="A125" s="226" t="s">
        <v>198</v>
      </c>
      <c r="B125" s="238"/>
      <c r="C125" s="238"/>
      <c r="D125" s="238"/>
      <c r="E125" s="238"/>
      <c r="F125" s="238"/>
      <c r="G125" s="262" t="s">
        <v>222</v>
      </c>
      <c r="H125" s="263"/>
      <c r="J125" s="160"/>
    </row>
    <row r="126" spans="1:12" ht="15" customHeight="1" x14ac:dyDescent="0.25">
      <c r="A126" s="229" t="s">
        <v>223</v>
      </c>
      <c r="C126" s="239"/>
      <c r="D126" s="239"/>
      <c r="E126" s="239"/>
      <c r="F126" s="240"/>
      <c r="G126" s="241"/>
      <c r="H126" s="107"/>
      <c r="J126" s="160"/>
    </row>
    <row r="127" spans="1:12" ht="15" customHeight="1" x14ac:dyDescent="0.25">
      <c r="A127" s="229" t="s">
        <v>224</v>
      </c>
      <c r="C127" s="239"/>
      <c r="D127" s="239"/>
      <c r="E127" s="239"/>
      <c r="F127" s="240"/>
      <c r="G127" s="241"/>
      <c r="H127" s="107"/>
      <c r="J127" s="160"/>
    </row>
    <row r="128" spans="1:12" ht="15" customHeight="1" x14ac:dyDescent="0.25">
      <c r="A128" s="19"/>
      <c r="B128" s="242" t="s">
        <v>225</v>
      </c>
      <c r="D128" s="242" t="s">
        <v>226</v>
      </c>
      <c r="F128" s="240"/>
      <c r="G128" s="241"/>
      <c r="H128" s="107"/>
      <c r="J128" s="160"/>
    </row>
    <row r="129" spans="1:10" ht="15" customHeight="1" x14ac:dyDescent="0.25">
      <c r="A129" s="19"/>
      <c r="B129" s="242" t="s">
        <v>227</v>
      </c>
      <c r="D129" s="242" t="s">
        <v>228</v>
      </c>
      <c r="F129" s="240"/>
      <c r="G129" s="241"/>
      <c r="H129" s="107"/>
      <c r="J129" s="160"/>
    </row>
    <row r="130" spans="1:10" ht="15" customHeight="1" x14ac:dyDescent="0.25">
      <c r="A130" s="19"/>
      <c r="B130" s="242" t="s">
        <v>229</v>
      </c>
      <c r="D130" s="242" t="s">
        <v>230</v>
      </c>
      <c r="F130" s="240"/>
      <c r="G130" s="241"/>
      <c r="H130" s="107"/>
      <c r="J130" s="160"/>
    </row>
    <row r="131" spans="1:10" ht="15" customHeight="1" x14ac:dyDescent="0.25">
      <c r="A131" s="19"/>
      <c r="B131" s="243" t="s">
        <v>231</v>
      </c>
      <c r="D131" s="242" t="s">
        <v>232</v>
      </c>
      <c r="F131" s="240"/>
      <c r="G131" s="241"/>
      <c r="H131" s="107"/>
      <c r="J131" s="160"/>
    </row>
    <row r="132" spans="1:10" ht="15" customHeight="1" x14ac:dyDescent="0.25">
      <c r="A132" s="19"/>
      <c r="B132" s="242" t="s">
        <v>233</v>
      </c>
      <c r="D132" s="242" t="s">
        <v>234</v>
      </c>
      <c r="F132" s="240"/>
      <c r="G132" s="241"/>
      <c r="H132" s="107"/>
      <c r="J132" s="160"/>
    </row>
    <row r="133" spans="1:10" ht="15" customHeight="1" x14ac:dyDescent="0.25">
      <c r="A133" s="19"/>
      <c r="B133" s="242" t="s">
        <v>235</v>
      </c>
      <c r="D133" s="242" t="s">
        <v>236</v>
      </c>
      <c r="F133" s="240"/>
      <c r="G133" s="241"/>
      <c r="H133" s="107"/>
      <c r="J133" s="8"/>
    </row>
    <row r="134" spans="1:10" ht="15" customHeight="1" x14ac:dyDescent="0.25">
      <c r="A134" s="19"/>
      <c r="B134" s="243" t="s">
        <v>237</v>
      </c>
      <c r="D134" s="242" t="s">
        <v>238</v>
      </c>
      <c r="F134" s="240"/>
      <c r="G134" s="241"/>
      <c r="H134" s="107"/>
      <c r="J134" s="8"/>
    </row>
    <row r="135" spans="1:10" ht="15" customHeight="1" thickBot="1" x14ac:dyDescent="0.3">
      <c r="A135" s="244"/>
      <c r="B135" s="245" t="s">
        <v>239</v>
      </c>
      <c r="C135" s="216"/>
      <c r="D135" s="245" t="s">
        <v>240</v>
      </c>
      <c r="E135" s="216"/>
      <c r="F135" s="216"/>
      <c r="G135" s="216"/>
      <c r="H135" s="246"/>
      <c r="J135" s="8"/>
    </row>
    <row r="136" spans="1:10" ht="15" customHeight="1" thickBot="1" x14ac:dyDescent="0.3">
      <c r="J136" s="8"/>
    </row>
    <row r="137" spans="1:10" ht="15" customHeight="1" x14ac:dyDescent="0.25">
      <c r="B137" s="247" t="s">
        <v>241</v>
      </c>
      <c r="C137" s="248"/>
      <c r="D137" s="249"/>
      <c r="E137" s="250" t="s">
        <v>242</v>
      </c>
      <c r="F137" s="251"/>
      <c r="G137" s="250" t="s">
        <v>243</v>
      </c>
      <c r="H137" s="252"/>
      <c r="J137" s="8"/>
    </row>
    <row r="138" spans="1:10" ht="15" customHeight="1" x14ac:dyDescent="0.25">
      <c r="B138" s="253" t="s">
        <v>11</v>
      </c>
      <c r="C138" s="171"/>
      <c r="D138" s="182"/>
      <c r="E138" s="254" t="s">
        <v>244</v>
      </c>
      <c r="G138" s="254" t="s">
        <v>245</v>
      </c>
      <c r="H138" s="107"/>
      <c r="J138" s="8"/>
    </row>
    <row r="139" spans="1:10" ht="15" customHeight="1" x14ac:dyDescent="0.25">
      <c r="B139" s="253" t="s">
        <v>246</v>
      </c>
      <c r="C139" s="171"/>
      <c r="D139" s="182"/>
      <c r="E139" s="254" t="s">
        <v>247</v>
      </c>
      <c r="G139" s="254" t="s">
        <v>248</v>
      </c>
      <c r="H139" s="107"/>
      <c r="J139" s="8"/>
    </row>
    <row r="140" spans="1:10" ht="15" customHeight="1" x14ac:dyDescent="0.25">
      <c r="B140" s="253" t="s">
        <v>151</v>
      </c>
      <c r="C140" s="171"/>
      <c r="D140" s="182"/>
      <c r="E140" s="254" t="s">
        <v>249</v>
      </c>
      <c r="H140" s="107"/>
      <c r="J140" s="8"/>
    </row>
    <row r="141" spans="1:10" ht="15" customHeight="1" x14ac:dyDescent="0.25">
      <c r="B141" s="253" t="s">
        <v>250</v>
      </c>
      <c r="C141" s="171"/>
      <c r="D141" s="182"/>
      <c r="E141" s="254" t="s">
        <v>251</v>
      </c>
      <c r="H141" s="107"/>
      <c r="J141" s="8"/>
    </row>
    <row r="142" spans="1:10" ht="15" customHeight="1" x14ac:dyDescent="0.25">
      <c r="B142" s="253" t="s">
        <v>252</v>
      </c>
      <c r="C142" s="171"/>
      <c r="D142" s="182"/>
      <c r="H142" s="107"/>
      <c r="J142" s="8"/>
    </row>
    <row r="143" spans="1:10" ht="15" customHeight="1" x14ac:dyDescent="0.25">
      <c r="B143" s="253" t="s">
        <v>253</v>
      </c>
      <c r="C143" s="171"/>
      <c r="D143" s="182"/>
      <c r="H143" s="107"/>
      <c r="J143" s="8"/>
    </row>
    <row r="144" spans="1:10" ht="15" customHeight="1" x14ac:dyDescent="0.25">
      <c r="B144" s="253" t="s">
        <v>254</v>
      </c>
      <c r="C144" s="171"/>
      <c r="D144" s="255">
        <f>SUM(C138:C144)</f>
        <v>0</v>
      </c>
      <c r="H144" s="107"/>
      <c r="J144" s="8"/>
    </row>
    <row r="145" spans="2:10" ht="15" customHeight="1" x14ac:dyDescent="0.25">
      <c r="B145" s="256" t="s">
        <v>255</v>
      </c>
      <c r="C145" s="171"/>
      <c r="D145" s="239"/>
      <c r="E145" s="257"/>
      <c r="H145" s="107"/>
      <c r="J145" s="8"/>
    </row>
    <row r="146" spans="2:10" ht="15" customHeight="1" x14ac:dyDescent="0.25">
      <c r="B146" s="253" t="s">
        <v>256</v>
      </c>
      <c r="C146" s="161"/>
      <c r="D146" s="239"/>
      <c r="H146" s="107"/>
      <c r="J146" s="8"/>
    </row>
    <row r="147" spans="2:10" ht="15" customHeight="1" x14ac:dyDescent="0.25">
      <c r="B147" s="253" t="s">
        <v>257</v>
      </c>
      <c r="C147" s="161"/>
      <c r="D147" s="239"/>
      <c r="H147" s="107"/>
      <c r="J147" s="8"/>
    </row>
    <row r="148" spans="2:10" ht="15" customHeight="1" x14ac:dyDescent="0.25">
      <c r="B148" s="253" t="s">
        <v>258</v>
      </c>
      <c r="C148" s="161"/>
      <c r="D148" s="239">
        <f>SUM(C146:C148)</f>
        <v>0</v>
      </c>
      <c r="H148" s="107"/>
      <c r="J148" s="8"/>
    </row>
    <row r="149" spans="2:10" ht="15" customHeight="1" thickBot="1" x14ac:dyDescent="0.3">
      <c r="B149" s="258" t="s">
        <v>259</v>
      </c>
      <c r="C149" s="259"/>
      <c r="D149" s="260"/>
      <c r="E149" s="216"/>
      <c r="F149" s="216"/>
      <c r="G149" s="216"/>
      <c r="H149" s="246"/>
      <c r="J149" s="8"/>
    </row>
    <row r="150" spans="2:10" ht="15" customHeight="1" x14ac:dyDescent="0.25">
      <c r="B150" s="239"/>
      <c r="D150" s="261">
        <f>D144+D148+D149</f>
        <v>0</v>
      </c>
      <c r="J150" s="8"/>
    </row>
    <row r="151" spans="2:10" ht="15" customHeight="1" x14ac:dyDescent="0.25">
      <c r="J151" s="160"/>
    </row>
  </sheetData>
  <mergeCells count="25">
    <mergeCell ref="C61:D61"/>
    <mergeCell ref="A1:C1"/>
    <mergeCell ref="D1:H1"/>
    <mergeCell ref="J1:M1"/>
    <mergeCell ref="A2:C2"/>
    <mergeCell ref="F2:G2"/>
    <mergeCell ref="B117:H117"/>
    <mergeCell ref="C62:E62"/>
    <mergeCell ref="C63:D63"/>
    <mergeCell ref="C64:D64"/>
    <mergeCell ref="A67:I67"/>
    <mergeCell ref="A68:B68"/>
    <mergeCell ref="F68:I68"/>
    <mergeCell ref="I82:J82"/>
    <mergeCell ref="I96:J96"/>
    <mergeCell ref="I106:J106"/>
    <mergeCell ref="G113:H113"/>
    <mergeCell ref="B116:H116"/>
    <mergeCell ref="G125:H125"/>
    <mergeCell ref="B118:H118"/>
    <mergeCell ref="B119:H119"/>
    <mergeCell ref="B120:H120"/>
    <mergeCell ref="B121:H121"/>
    <mergeCell ref="B122:H122"/>
    <mergeCell ref="B123:G123"/>
  </mergeCells>
  <conditionalFormatting sqref="F50">
    <cfRule type="expression" dxfId="0" priority="1" stopIfTrue="1">
      <formula>"""$E$55=0"""</formula>
    </cfRule>
  </conditionalFormatting>
  <printOptions horizontalCentered="1" verticalCentered="1"/>
  <pageMargins left="0.19685039370078741" right="0.19685039370078741" top="0.19685039370078741" bottom="0.19685039370078741" header="0" footer="0"/>
  <pageSetup paperSize="9" scale="83"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Case-7 (Dec-22)</vt:lpstr>
      <vt:lpstr>'Case-7 (Dec-22)'!Print_Area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Tax Doctor</dc:creator>
  <cp:lastModifiedBy>Tax Doctor</cp:lastModifiedBy>
  <dcterms:created xsi:type="dcterms:W3CDTF">2022-12-12T06:08:39Z</dcterms:created>
  <dcterms:modified xsi:type="dcterms:W3CDTF">2022-12-12T06:15:04Z</dcterms:modified>
</cp:coreProperties>
</file>